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https://itaipudigital.sharepoint.com/teams/DivSuporteTecnico/DocumentosProcesso/NF 0788-24/Aditivos/Aditivo 3/"/>
    </mc:Choice>
  </mc:AlternateContent>
  <xr:revisionPtr revIDLastSave="20" documentId="13_ncr:1_{5DEA6ECE-589A-4C85-9DBD-A9AE5E5D3759}" xr6:coauthVersionLast="47" xr6:coauthVersionMax="47" xr10:uidLastSave="{34241D70-CC7F-4609-B191-37AB8CD17C52}"/>
  <workbookProtection workbookAlgorithmName="SHA-512" workbookHashValue="Nb0FfKzTPJtjjngrwglEVXRNFRPP1hhSqmnNx5nJaia4bhLICeG2z+xn0JK3Q8WzH8SQMp4LJokvcJp/qaaE1w==" workbookSaltValue="LGeXgaN4+vusXA/Z8E/neg==" workbookSpinCount="100000" lockStructure="1"/>
  <bookViews>
    <workbookView xWindow="28680" yWindow="-120" windowWidth="29040" windowHeight="15720" tabRatio="851" activeTab="1" xr2:uid="{00000000-000D-0000-FFFF-FFFF00000000}"/>
  </bookViews>
  <sheets>
    <sheet name="Capa" sheetId="17" r:id="rId1"/>
    <sheet name="1. Planilha de Preços" sheetId="8" r:id="rId2"/>
    <sheet name="2. Planilha Auxiliar Resumo" sheetId="10" r:id="rId3"/>
    <sheet name="3. Planilha Auxiliar Pessoal" sheetId="5" r:id="rId4"/>
    <sheet name="4. Memória Cálculo Fixos" sheetId="11" r:id="rId5"/>
    <sheet name="5. Memória Cálculo Variáveis" sheetId="16" r:id="rId6"/>
  </sheets>
  <definedNames>
    <definedName name="_xlnm.Print_Area" localSheetId="1">'1. Planilha de Preços'!$A$1:$G$17</definedName>
    <definedName name="_xlnm.Print_Area" localSheetId="3">'3. Planilha Auxiliar Pessoal'!$A$1:$M$133</definedName>
    <definedName name="Print_Area" localSheetId="1">'1. Planilha de Preços'!$A$1:$G$16</definedName>
    <definedName name="Print_Area" localSheetId="2">'2. Planilha Auxiliar Resumo'!$A$1:$G$39</definedName>
    <definedName name="Print_Area" localSheetId="3">'3. Planilha Auxiliar Pessoal'!$A$1:$M$132</definedName>
    <definedName name="Print_Area" localSheetId="4">'4. Memória Cálculo Fixos'!$A$1:$D$61</definedName>
    <definedName name="Print_Area" localSheetId="5">'5. Memória Cálculo Variáveis'!$A$1:$D$37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8" l="1"/>
  <c r="F12" i="8"/>
  <c r="G18" i="10"/>
  <c r="J38" i="5"/>
  <c r="L30" i="5"/>
  <c r="L27" i="5"/>
  <c r="L26" i="5"/>
  <c r="L25" i="5"/>
  <c r="J30" i="5"/>
  <c r="J27" i="5"/>
  <c r="J26" i="5"/>
  <c r="J25" i="5"/>
  <c r="L24" i="5"/>
  <c r="J24" i="5"/>
  <c r="J5" i="5"/>
  <c r="C31" i="11"/>
  <c r="C13" i="11"/>
  <c r="C14" i="11"/>
  <c r="C15" i="11"/>
  <c r="C17" i="11"/>
  <c r="C19" i="11"/>
  <c r="F11" i="8"/>
  <c r="F10" i="8"/>
  <c r="F9" i="8"/>
  <c r="F8" i="8"/>
  <c r="F7" i="8"/>
  <c r="F6" i="8"/>
  <c r="J117" i="5"/>
  <c r="J116" i="5"/>
  <c r="J115" i="5"/>
  <c r="J114" i="5"/>
  <c r="J113" i="5"/>
  <c r="K112" i="5"/>
  <c r="J112" i="5"/>
  <c r="J119" i="5"/>
  <c r="J102" i="5"/>
  <c r="J101" i="5"/>
  <c r="J100" i="5"/>
  <c r="J99" i="5"/>
  <c r="J98" i="5"/>
  <c r="J105" i="5"/>
  <c r="J90" i="5"/>
  <c r="J91" i="5"/>
  <c r="J84" i="5"/>
  <c r="J87" i="5"/>
  <c r="J78" i="5"/>
  <c r="J77" i="5"/>
  <c r="J79" i="5"/>
  <c r="J68" i="5"/>
  <c r="J67" i="5"/>
  <c r="J69" i="5"/>
  <c r="J60" i="5"/>
  <c r="J59" i="5"/>
  <c r="J61" i="5"/>
  <c r="J55" i="5"/>
  <c r="J40" i="5"/>
  <c r="J15" i="5"/>
  <c r="K9" i="5"/>
  <c r="J13" i="5"/>
  <c r="J17" i="5"/>
  <c r="L111" i="5"/>
  <c r="H15" i="5"/>
  <c r="L7" i="5"/>
  <c r="L5" i="5"/>
  <c r="L15" i="5"/>
  <c r="C40" i="11"/>
  <c r="C27" i="11"/>
  <c r="G8" i="10"/>
  <c r="C21" i="16"/>
  <c r="J106" i="5"/>
  <c r="J107" i="5"/>
  <c r="J80" i="5"/>
  <c r="J86" i="5"/>
  <c r="J88" i="5"/>
  <c r="J85" i="5"/>
  <c r="J71" i="5"/>
  <c r="J70" i="5"/>
  <c r="J63" i="5"/>
  <c r="J62" i="5"/>
  <c r="J14" i="5"/>
  <c r="J18" i="5"/>
  <c r="J19" i="5"/>
  <c r="J108" i="5"/>
  <c r="J109" i="5"/>
  <c r="J81" i="5"/>
  <c r="J82" i="5"/>
  <c r="J72" i="5"/>
  <c r="J73" i="5"/>
  <c r="J20" i="5"/>
  <c r="C47" i="11"/>
  <c r="C49" i="11"/>
  <c r="C51" i="11"/>
  <c r="J123" i="5"/>
  <c r="K103" i="5"/>
  <c r="K82" i="5"/>
  <c r="K53" i="5"/>
  <c r="K101" i="5"/>
  <c r="K51" i="5"/>
  <c r="K78" i="5"/>
  <c r="K77" i="5"/>
  <c r="K98" i="5"/>
  <c r="K90" i="5"/>
  <c r="K68" i="5"/>
  <c r="K47" i="5"/>
  <c r="K55" i="5"/>
  <c r="K67" i="5"/>
  <c r="K87" i="5"/>
  <c r="K86" i="5"/>
  <c r="K85" i="5"/>
  <c r="K54" i="5"/>
  <c r="K102" i="5"/>
  <c r="K81" i="5"/>
  <c r="K52" i="5"/>
  <c r="K80" i="5"/>
  <c r="K100" i="5"/>
  <c r="K50" i="5"/>
  <c r="K99" i="5"/>
  <c r="K49" i="5"/>
  <c r="K70" i="5"/>
  <c r="K89" i="5"/>
  <c r="K62" i="5"/>
  <c r="K60" i="5"/>
  <c r="K59" i="5"/>
  <c r="K61" i="5"/>
  <c r="K63" i="5"/>
  <c r="K84" i="5"/>
  <c r="K88" i="5"/>
  <c r="K48" i="5"/>
  <c r="C50" i="11"/>
  <c r="J83" i="5"/>
  <c r="J92" i="5"/>
  <c r="C33" i="16"/>
  <c r="C15" i="16"/>
  <c r="C27" i="16"/>
  <c r="C29" i="16"/>
  <c r="C9" i="16"/>
  <c r="C3" i="16"/>
  <c r="K79" i="5"/>
  <c r="K83" i="5"/>
  <c r="K91" i="5"/>
  <c r="K105" i="5"/>
  <c r="K106" i="5"/>
  <c r="K107" i="5"/>
  <c r="K108" i="5"/>
  <c r="K109" i="5"/>
  <c r="K69" i="5"/>
  <c r="K71" i="5"/>
  <c r="K72" i="5"/>
  <c r="K73" i="5"/>
  <c r="J93" i="5"/>
  <c r="J94" i="5"/>
  <c r="C6" i="11"/>
  <c r="C7" i="11"/>
  <c r="C9" i="11"/>
  <c r="K92" i="5"/>
  <c r="K93" i="5"/>
  <c r="K94" i="5"/>
  <c r="C8" i="11"/>
  <c r="H77" i="5"/>
  <c r="L38" i="5"/>
  <c r="L9" i="5"/>
  <c r="G20" i="10"/>
  <c r="C23" i="16"/>
  <c r="G19" i="10"/>
  <c r="C17" i="16"/>
  <c r="C11" i="16"/>
  <c r="G17" i="10"/>
  <c r="C5" i="16"/>
  <c r="G16" i="10"/>
  <c r="C35" i="16"/>
  <c r="C36" i="16"/>
  <c r="G21" i="10"/>
  <c r="G22" i="10"/>
  <c r="G23" i="10"/>
  <c r="C42" i="11"/>
  <c r="C44" i="11"/>
  <c r="G10" i="10"/>
  <c r="G6" i="10"/>
  <c r="G9" i="10"/>
  <c r="C64" i="11"/>
  <c r="C33" i="11"/>
  <c r="C35" i="11"/>
  <c r="G7" i="10"/>
  <c r="C62" i="11"/>
  <c r="B126" i="5"/>
  <c r="A126" i="5"/>
  <c r="B125" i="5"/>
  <c r="A125" i="5"/>
  <c r="B124" i="5"/>
  <c r="A124" i="5"/>
  <c r="B123" i="5"/>
  <c r="A123" i="5"/>
  <c r="B117" i="5"/>
  <c r="A117" i="5"/>
  <c r="B116" i="5"/>
  <c r="A116" i="5"/>
  <c r="B115" i="5"/>
  <c r="A115" i="5"/>
  <c r="B114" i="5"/>
  <c r="A114" i="5"/>
  <c r="B113" i="5"/>
  <c r="A113" i="5"/>
  <c r="M112" i="5"/>
  <c r="L112" i="5"/>
  <c r="I112" i="5"/>
  <c r="H112" i="5"/>
  <c r="H111" i="5"/>
  <c r="B111" i="5"/>
  <c r="A111" i="5"/>
  <c r="L102" i="5"/>
  <c r="H102" i="5"/>
  <c r="L101" i="5"/>
  <c r="H101" i="5"/>
  <c r="L100" i="5"/>
  <c r="H100" i="5"/>
  <c r="L99" i="5"/>
  <c r="H99" i="5"/>
  <c r="L98" i="5"/>
  <c r="H98" i="5"/>
  <c r="L90" i="5"/>
  <c r="H90" i="5"/>
  <c r="L84" i="5"/>
  <c r="H84" i="5"/>
  <c r="L77" i="5"/>
  <c r="L60" i="5"/>
  <c r="H60" i="5"/>
  <c r="L59" i="5"/>
  <c r="H59" i="5"/>
  <c r="L55" i="5"/>
  <c r="H55" i="5"/>
  <c r="H113" i="5"/>
  <c r="L40" i="5"/>
  <c r="L125" i="5"/>
  <c r="H40" i="5"/>
  <c r="I9" i="5"/>
  <c r="H13" i="5"/>
  <c r="H125" i="5"/>
  <c r="J125" i="5"/>
  <c r="H17" i="5"/>
  <c r="H14" i="5"/>
  <c r="H61" i="5"/>
  <c r="H105" i="5"/>
  <c r="L61" i="5"/>
  <c r="H91" i="5"/>
  <c r="L91" i="5"/>
  <c r="L105" i="5"/>
  <c r="L106" i="5"/>
  <c r="L107" i="5"/>
  <c r="L68" i="5"/>
  <c r="L67" i="5"/>
  <c r="L69" i="5"/>
  <c r="H68" i="5"/>
  <c r="H67" i="5"/>
  <c r="L62" i="5"/>
  <c r="L63" i="5"/>
  <c r="L114" i="5"/>
  <c r="L78" i="5"/>
  <c r="L79" i="5"/>
  <c r="L85" i="5"/>
  <c r="L86" i="5"/>
  <c r="L87" i="5"/>
  <c r="H106" i="5"/>
  <c r="H107" i="5"/>
  <c r="L113" i="5"/>
  <c r="M9" i="5"/>
  <c r="L13" i="5"/>
  <c r="H62" i="5"/>
  <c r="H63" i="5"/>
  <c r="H114" i="5"/>
  <c r="H78" i="5"/>
  <c r="H79" i="5"/>
  <c r="H85" i="5"/>
  <c r="H86" i="5"/>
  <c r="H87" i="5"/>
  <c r="L17" i="5"/>
  <c r="L14" i="5"/>
  <c r="L16" i="5"/>
  <c r="H18" i="5"/>
  <c r="H31" i="5"/>
  <c r="H28" i="5"/>
  <c r="H69" i="5"/>
  <c r="H70" i="5"/>
  <c r="H71" i="5"/>
  <c r="H88" i="5"/>
  <c r="L88" i="5"/>
  <c r="H80" i="5"/>
  <c r="H108" i="5"/>
  <c r="H109" i="5"/>
  <c r="H117" i="5"/>
  <c r="L80" i="5"/>
  <c r="L108" i="5"/>
  <c r="L109" i="5"/>
  <c r="L117" i="5"/>
  <c r="L70" i="5"/>
  <c r="L71" i="5"/>
  <c r="J28" i="5"/>
  <c r="L28" i="5"/>
  <c r="L31" i="5"/>
  <c r="J31" i="5"/>
  <c r="L18" i="5"/>
  <c r="L19" i="5"/>
  <c r="L20" i="5"/>
  <c r="L72" i="5"/>
  <c r="L73" i="5"/>
  <c r="L115" i="5"/>
  <c r="H82" i="5"/>
  <c r="H81" i="5"/>
  <c r="H72" i="5"/>
  <c r="H73" i="5"/>
  <c r="H115" i="5"/>
  <c r="H19" i="5"/>
  <c r="H20" i="5"/>
  <c r="I59" i="5"/>
  <c r="L82" i="5"/>
  <c r="L81" i="5"/>
  <c r="H32" i="5"/>
  <c r="L32" i="5"/>
  <c r="J32" i="5"/>
  <c r="J33" i="5"/>
  <c r="J34" i="5"/>
  <c r="H83" i="5"/>
  <c r="H92" i="5"/>
  <c r="H93" i="5"/>
  <c r="H94" i="5"/>
  <c r="H116" i="5"/>
  <c r="H119" i="5"/>
  <c r="L83" i="5"/>
  <c r="L92" i="5"/>
  <c r="L93" i="5"/>
  <c r="L94" i="5"/>
  <c r="L116" i="5"/>
  <c r="L119" i="5"/>
  <c r="M102" i="5"/>
  <c r="M101" i="5"/>
  <c r="M100" i="5"/>
  <c r="M99" i="5"/>
  <c r="M98" i="5"/>
  <c r="M90" i="5"/>
  <c r="M89" i="5"/>
  <c r="M87" i="5"/>
  <c r="M86" i="5"/>
  <c r="M85" i="5"/>
  <c r="M84" i="5"/>
  <c r="M82" i="5"/>
  <c r="M81" i="5"/>
  <c r="M80" i="5"/>
  <c r="M78" i="5"/>
  <c r="M77" i="5"/>
  <c r="M70" i="5"/>
  <c r="M68" i="5"/>
  <c r="M67" i="5"/>
  <c r="M62" i="5"/>
  <c r="M60" i="5"/>
  <c r="M59" i="5"/>
  <c r="M54" i="5"/>
  <c r="M52" i="5"/>
  <c r="M50" i="5"/>
  <c r="M48" i="5"/>
  <c r="L123" i="5"/>
  <c r="M103" i="5"/>
  <c r="M53" i="5"/>
  <c r="M51" i="5"/>
  <c r="M49" i="5"/>
  <c r="M47" i="5"/>
  <c r="H33" i="5"/>
  <c r="H34" i="5"/>
  <c r="I103" i="5"/>
  <c r="I53" i="5"/>
  <c r="I51" i="5"/>
  <c r="I49" i="5"/>
  <c r="I47" i="5"/>
  <c r="I54" i="5"/>
  <c r="I52" i="5"/>
  <c r="I50" i="5"/>
  <c r="I48" i="5"/>
  <c r="H123" i="5"/>
  <c r="I102" i="5"/>
  <c r="I101" i="5"/>
  <c r="I100" i="5"/>
  <c r="I99" i="5"/>
  <c r="I98" i="5"/>
  <c r="I90" i="5"/>
  <c r="I89" i="5"/>
  <c r="I87" i="5"/>
  <c r="I86" i="5"/>
  <c r="I85" i="5"/>
  <c r="I84" i="5"/>
  <c r="I82" i="5"/>
  <c r="I81" i="5"/>
  <c r="I80" i="5"/>
  <c r="I78" i="5"/>
  <c r="I77" i="5"/>
  <c r="I70" i="5"/>
  <c r="I68" i="5"/>
  <c r="I67" i="5"/>
  <c r="I62" i="5"/>
  <c r="I60" i="5"/>
  <c r="L33" i="5"/>
  <c r="L34" i="5"/>
  <c r="L124" i="5"/>
  <c r="H124" i="5"/>
  <c r="J124" i="5"/>
  <c r="M61" i="5"/>
  <c r="M63" i="5"/>
  <c r="M114" i="5"/>
  <c r="M69" i="5"/>
  <c r="M71" i="5"/>
  <c r="M72" i="5"/>
  <c r="M73" i="5"/>
  <c r="M115" i="5"/>
  <c r="M91" i="5"/>
  <c r="I79" i="5"/>
  <c r="I83" i="5"/>
  <c r="M88" i="5"/>
  <c r="I69" i="5"/>
  <c r="I71" i="5"/>
  <c r="I105" i="5"/>
  <c r="I106" i="5"/>
  <c r="I107" i="5"/>
  <c r="I91" i="5"/>
  <c r="I88" i="5"/>
  <c r="I55" i="5"/>
  <c r="M105" i="5"/>
  <c r="I61" i="5"/>
  <c r="I63" i="5"/>
  <c r="M55" i="5"/>
  <c r="M113" i="5"/>
  <c r="M79" i="5"/>
  <c r="M83" i="5"/>
  <c r="I113" i="5"/>
  <c r="K113" i="5"/>
  <c r="I114" i="5"/>
  <c r="K114" i="5"/>
  <c r="M92" i="5"/>
  <c r="M93" i="5"/>
  <c r="M94" i="5"/>
  <c r="M116" i="5"/>
  <c r="I108" i="5"/>
  <c r="I109" i="5"/>
  <c r="I92" i="5"/>
  <c r="I72" i="5"/>
  <c r="I73" i="5"/>
  <c r="M106" i="5"/>
  <c r="M107" i="5"/>
  <c r="I117" i="5"/>
  <c r="K117" i="5"/>
  <c r="I115" i="5"/>
  <c r="K115" i="5"/>
  <c r="M108" i="5"/>
  <c r="M109" i="5"/>
  <c r="M117" i="5"/>
  <c r="M119" i="5"/>
  <c r="L126" i="5"/>
  <c r="L128" i="5"/>
  <c r="L131" i="5"/>
  <c r="I93" i="5"/>
  <c r="I94" i="5"/>
  <c r="I116" i="5"/>
  <c r="I119" i="5"/>
  <c r="K116" i="5"/>
  <c r="K119" i="5"/>
  <c r="H126" i="5"/>
  <c r="H128" i="5"/>
  <c r="H131" i="5"/>
  <c r="J126" i="5"/>
  <c r="J128" i="5"/>
  <c r="J131" i="5"/>
  <c r="H132" i="5"/>
  <c r="G5" i="10"/>
  <c r="C59" i="11"/>
  <c r="C60" i="11"/>
  <c r="G11" i="10"/>
  <c r="G12" i="10"/>
  <c r="G13" i="10"/>
  <c r="G25" i="10"/>
  <c r="G26" i="10"/>
  <c r="F5" i="8"/>
  <c r="F1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Cayo Cesar Rezende de Souza</author>
  </authors>
  <commentList>
    <comment ref="A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COMPOSIÇÃO DE CUSTOS</t>
        </r>
        <r>
          <rPr>
            <sz val="9"/>
            <color indexed="81"/>
            <rFont val="Tahoma"/>
            <family val="2"/>
          </rPr>
          <t xml:space="preserve">
X</t>
        </r>
        <r>
          <rPr>
            <b/>
            <sz val="9"/>
            <color indexed="81"/>
            <rFont val="Tahoma"/>
            <family val="2"/>
          </rPr>
          <t xml:space="preserve">
PLANILHAS AUXILIARES</t>
        </r>
        <r>
          <rPr>
            <sz val="9"/>
            <color indexed="81"/>
            <rFont val="Tahoma"/>
            <family val="2"/>
          </rPr>
          <t xml:space="preserve">
X
</t>
        </r>
        <r>
          <rPr>
            <b/>
            <sz val="9"/>
            <color indexed="81"/>
            <rFont val="Tahoma"/>
            <family val="2"/>
          </rPr>
          <t>COMPOSIÇÃO DOS PREÇOS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Cayo Cesar Rezende de Souza</author>
    <author>Alessandro Cardoso Da Silva</author>
    <author>Divan</author>
    <author>Usuário do Windows</author>
  </authors>
  <commentList>
    <comment ref="B5" authorId="0" shapeId="0" xr:uid="{00000000-0006-0000-0300-000001000000}">
      <text>
        <r>
          <rPr>
            <sz val="9"/>
            <color indexed="81"/>
            <rFont val="Tahoma"/>
            <family val="2"/>
          </rPr>
          <t>Considerado os pisos salarias nacional e do estado do Paraná para Professor sem licenciatura</t>
        </r>
      </text>
    </comment>
    <comment ref="B6" authorId="1" shapeId="0" xr:uid="{2251F004-3839-4945-BC08-60BD5AD7F0B5}">
      <text>
        <r>
          <rPr>
            <sz val="9"/>
            <color indexed="81"/>
            <rFont val="Segoe UI"/>
            <charset val="1"/>
          </rPr>
          <t>Considerado os pisos salarias nacional e do estado do Paraná para Professor sem licenciatura</t>
        </r>
      </text>
    </comment>
    <comment ref="B9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IPCA jul/23 a jan/24 = 1,8738%.
Prev IPCA jan/24 a jun/24 = 2,0%
</t>
        </r>
      </text>
    </comment>
    <comment ref="B14" authorId="1" shapeId="0" xr:uid="{3873750F-E715-47DF-8824-0BB9C3C8C66F}">
      <text>
        <r>
          <rPr>
            <b/>
            <sz val="9"/>
            <color indexed="81"/>
            <rFont val="Segoe UI"/>
            <charset val="1"/>
          </rPr>
          <t>Alessandro Cardoso Da Silva:</t>
        </r>
        <r>
          <rPr>
            <sz val="9"/>
            <color indexed="81"/>
            <rFont val="Segoe UI"/>
            <charset val="1"/>
          </rPr>
          <t xml:space="preserve">
referência para estimular dedicação integral de profissionais</t>
        </r>
      </text>
    </comment>
    <comment ref="B15" authorId="1" shapeId="0" xr:uid="{54A30B99-97EF-4E93-ACBD-8C2ABE66D3FC}">
      <text>
        <r>
          <rPr>
            <b/>
            <sz val="9"/>
            <color indexed="81"/>
            <rFont val="Segoe UI"/>
            <charset val="1"/>
          </rPr>
          <t>Alessandro Cardoso Da Silva:</t>
        </r>
        <r>
          <rPr>
            <sz val="9"/>
            <color indexed="81"/>
            <rFont val="Segoe UI"/>
            <charset val="1"/>
          </rPr>
          <t xml:space="preserve">
Referência para remuneração de professores para elaboração de aulas</t>
        </r>
      </text>
    </comment>
    <comment ref="B16" authorId="1" shapeId="0" xr:uid="{D781AFEF-1975-427C-B127-49B560489D8E}">
      <text>
        <r>
          <rPr>
            <b/>
            <sz val="9"/>
            <color indexed="81"/>
            <rFont val="Segoe UI"/>
            <charset val="1"/>
          </rPr>
          <t>Alessandro Cardoso Da Silva:</t>
        </r>
        <r>
          <rPr>
            <sz val="9"/>
            <color indexed="81"/>
            <rFont val="Segoe UI"/>
            <charset val="1"/>
          </rPr>
          <t xml:space="preserve">
referência de mercado para líderes de equipe de 10 ou mais pessoas</t>
        </r>
      </text>
    </comment>
    <comment ref="B17" authorId="1" shapeId="0" xr:uid="{CD72C588-140C-47B9-A917-470D36E224A1}">
      <text>
        <r>
          <rPr>
            <b/>
            <sz val="9"/>
            <color indexed="81"/>
            <rFont val="Segoe UI"/>
            <charset val="1"/>
          </rPr>
          <t>Alessandro Cardoso Da Silva:
1 Professor especialista em avaliação física.
3 professores especialistas em pilates
1 professor especialista em treinamento funcional
1 professor especialista em ergonomia e gerenciamento de riscos ocupacionais</t>
        </r>
      </text>
    </comment>
    <comment ref="B25" authorId="2" shapeId="0" xr:uid="{00000000-0006-0000-0300-000007000000}">
      <text>
        <r>
          <rPr>
            <sz val="9"/>
            <color indexed="81"/>
            <rFont val="Tahoma"/>
            <family val="2"/>
          </rPr>
          <t xml:space="preserve">Cláusula Social de Itaipu
</t>
        </r>
      </text>
    </comment>
    <comment ref="B26" authorId="2" shapeId="0" xr:uid="{00000000-0006-0000-0300-000008000000}">
      <text>
        <r>
          <rPr>
            <sz val="9"/>
            <color indexed="81"/>
            <rFont val="Tahoma"/>
            <family val="2"/>
          </rPr>
          <t>* média acordos coletivos similares na região de Foz do Iguaçu;
* IPCA alimentos jul/23 a abril/24 previsão 5,8%
* considera reposição do profissional ausente por férias;</t>
        </r>
      </text>
    </comment>
    <comment ref="B27" authorId="2" shapeId="0" xr:uid="{00000000-0006-0000-0300-000009000000}">
      <text>
        <r>
          <rPr>
            <sz val="9"/>
            <color indexed="81"/>
            <rFont val="Tahoma"/>
            <family val="2"/>
          </rPr>
          <t>Cláusula Social: Exigência da Itaipu Binacional</t>
        </r>
      </text>
    </comment>
    <comment ref="B28" authorId="2" shapeId="0" xr:uid="{00000000-0006-0000-0300-00000A000000}">
      <text>
        <r>
          <rPr>
            <sz val="9"/>
            <color indexed="81"/>
            <rFont val="Tahoma"/>
            <family val="2"/>
          </rPr>
          <t>* convenção coletiva da categoria;</t>
        </r>
      </text>
    </comment>
    <comment ref="B30" authorId="0" shapeId="0" xr:uid="{00000000-0006-0000-0300-00000B000000}">
      <text>
        <r>
          <rPr>
            <sz val="9"/>
            <color indexed="81"/>
            <rFont val="Tahoma"/>
            <family val="2"/>
          </rPr>
          <t>Contratada atual =  200 + prev reajuste 5,0%
*considera reposição de profissional ausente</t>
        </r>
      </text>
    </comment>
    <comment ref="B31" authorId="3" shapeId="0" xr:uid="{00000000-0006-0000-0300-00000C000000}">
      <text>
        <r>
          <rPr>
            <sz val="9"/>
            <color indexed="81"/>
            <rFont val="Tahoma"/>
            <family val="2"/>
          </rPr>
          <t>* referência itaipu: R$ 104,01 / R$ 128.727,60 ao mês = 0,9696% ao ano;</t>
        </r>
      </text>
    </comment>
    <comment ref="B38" authorId="3" shapeId="0" xr:uid="{00000000-0006-0000-0300-00000D000000}">
      <text>
        <r>
          <rPr>
            <sz val="9"/>
            <color indexed="81"/>
            <rFont val="Tahoma"/>
            <family val="2"/>
          </rPr>
          <t>Agasalho completo com bordado no peito esquerdo  R$120,00 3  R$360,00 
Camiseta manga curta na cor bordado no peito esquerdo  R$40,00 5  R$200,00 
Total  R$ 560,00 
*considera resposição de profissional ausente</t>
        </r>
      </text>
    </comment>
    <comment ref="B47" authorId="2" shapeId="0" xr:uid="{00000000-0006-0000-0300-00000E000000}">
      <text>
        <r>
          <rPr>
            <sz val="9"/>
            <color indexed="81"/>
            <rFont val="Tahoma"/>
            <family val="2"/>
          </rPr>
          <t>* artigo 22, inciso I, lei n. 8.212 / 91;</t>
        </r>
      </text>
    </comment>
    <comment ref="B48" authorId="2" shapeId="0" xr:uid="{00000000-0006-0000-0300-00000F000000}">
      <text>
        <r>
          <rPr>
            <sz val="9"/>
            <color indexed="81"/>
            <rFont val="Tahoma"/>
            <family val="2"/>
          </rPr>
          <t>* artigo 1º, inciso I, decreto 1.007/93</t>
        </r>
      </text>
    </comment>
    <comment ref="B49" authorId="2" shapeId="0" xr:uid="{00000000-0006-0000-0300-000010000000}">
      <text>
        <r>
          <rPr>
            <sz val="9"/>
            <color indexed="81"/>
            <rFont val="Tahoma"/>
            <family val="2"/>
          </rPr>
          <t>* artigo 1º, inciso II, decreto 1.007/93</t>
        </r>
      </text>
    </comment>
    <comment ref="B50" authorId="2" shapeId="0" xr:uid="{00000000-0006-0000-0300-000011000000}">
      <text>
        <r>
          <rPr>
            <sz val="9"/>
            <color indexed="81"/>
            <rFont val="Tahoma"/>
            <family val="2"/>
          </rPr>
          <t>* artigo 1º, inciso I, item 2 do decreto lei n. 1.146 / 70;</t>
        </r>
      </text>
    </comment>
    <comment ref="B51" authorId="2" shapeId="0" xr:uid="{00000000-0006-0000-0300-000012000000}">
      <text>
        <r>
          <rPr>
            <sz val="9"/>
            <color indexed="81"/>
            <rFont val="Tahoma"/>
            <family val="2"/>
          </rPr>
          <t>* art. 15, lei n. 9.424 / 96; art. 2o. decreto n. 3.142 / 99; art. 212, § 5o., c. f. / 1988;</t>
        </r>
      </text>
    </comment>
    <comment ref="B52" authorId="2" shapeId="0" xr:uid="{00000000-0006-0000-0300-000013000000}">
      <text>
        <r>
          <rPr>
            <sz val="9"/>
            <color indexed="81"/>
            <rFont val="Tahoma"/>
            <family val="2"/>
          </rPr>
          <t xml:space="preserve">* lei complementar n. 110 / 2001;
comunicado CEF, publicado DOU n. 248 de 28/12/2003, seção 3,  pág. 90;
art. 7o., inc. III, constituição federal;
art. 15, lei n. 8.030 / 90;
</t>
        </r>
      </text>
    </comment>
    <comment ref="B53" authorId="2" shapeId="0" xr:uid="{00000000-0006-0000-0300-000014000000}">
      <text>
        <r>
          <rPr>
            <sz val="9"/>
            <color indexed="81"/>
            <rFont val="Tahoma"/>
            <family val="2"/>
          </rPr>
          <t>* art. 22, inc. II, alíneas a), b) e c), lei n. 8.212 / 91;</t>
        </r>
      </text>
    </comment>
    <comment ref="B54" authorId="2" shapeId="0" xr:uid="{00000000-0006-0000-0300-000015000000}">
      <text>
        <r>
          <rPr>
            <sz val="9"/>
            <color indexed="81"/>
            <rFont val="Tahoma"/>
            <family val="2"/>
          </rPr>
          <t>* lei n. 8.029 / 90;</t>
        </r>
      </text>
    </comment>
    <comment ref="B59" authorId="2" shapeId="0" xr:uid="{00000000-0006-0000-0300-000016000000}">
      <text>
        <r>
          <rPr>
            <sz val="9"/>
            <color indexed="81"/>
            <rFont val="Tahoma"/>
            <family val="2"/>
          </rPr>
          <t xml:space="preserve">* lei n. 4.090 de 13/07/1962;
---&gt; cáculo: 1/12x100 = 8,33%
</t>
        </r>
      </text>
    </comment>
    <comment ref="B60" authorId="2" shapeId="0" xr:uid="{00000000-0006-0000-0300-000017000000}">
      <text>
        <r>
          <rPr>
            <sz val="9"/>
            <color indexed="81"/>
            <rFont val="Tahoma"/>
            <family val="2"/>
          </rPr>
          <t>* art. 7o., inc. XVII, c. f. / 1988;
---&gt; cálculo: 1/3/12x100 = 2,78%</t>
        </r>
      </text>
    </comment>
    <comment ref="B67" authorId="2" shapeId="0" xr:uid="{00000000-0006-0000-0300-000018000000}">
      <text>
        <r>
          <rPr>
            <sz val="9"/>
            <color indexed="81"/>
            <rFont val="Tahoma"/>
            <family val="2"/>
          </rPr>
          <t>* o salário referente ao período de licença maternidade é coberto pela previdência social, inclusive a gratificação natalina respectiva, de modo que o salário do substituto e o décimo terceiro respectivo já consta na planilha de encargos sociais; contudo, a previdência social não cobre a remuneração de férias proporcional ao período da licença maternidade, de modo que a planilha acaba não cobrindo as férias do substituto; para resolver tal situação, deve-se incluir sub grupo no grupo IV, para cotar as férias sobre licença maternidade;
---&gt; cálculo: 11,11% (custo sobre os salários das férias integrais dos trabalhadores) x 1,95% (percentual estatístico adotado como de empregadas que se afastam por licença maternidade) x 4 meses ao ano (período em um ano que se referem as férias proporcionais ora calculadas), ou seja, [(0,1111 x 0,0195 x 0,3333) x 100] = [0,0007 x 100] = 0,07%;</t>
        </r>
      </text>
    </comment>
    <comment ref="B68" authorId="2" shapeId="0" xr:uid="{00000000-0006-0000-0300-000019000000}">
      <text>
        <r>
          <rPr>
            <sz val="9"/>
            <color indexed="81"/>
            <rFont val="Tahoma"/>
            <family val="2"/>
          </rPr>
          <t>* lei n. 11.770 de 09/09/2008;
---&gt; cálculo: 11,11% (custo sobre os salários das férias integrais dos trabalhadores) x 1,95% (percentual estatístico adotado como de empregadas que se afastam por licença maternidade) x 2 meses ao ano (período em um ano que se refere a prorrogação ora calculada), ou seja, [(0,1111 x 0,0195 x 0,1667) x 100] = [0,0007 x 100] = 0,07%;</t>
        </r>
      </text>
    </comment>
    <comment ref="B77" authorId="2" shapeId="0" xr:uid="{00000000-0006-0000-0300-00001A000000}">
      <text>
        <r>
          <rPr>
            <sz val="9"/>
            <color indexed="81"/>
            <rFont val="Tahoma"/>
            <family val="2"/>
          </rPr>
          <t>* art.'s 7º, inc. XXI, c. f. / 1988 e 477, 487 ~ 491, c. l. t.;
---&gt; dado estatístico: considera-se que 5% dos empregados são substituídos durante o ano ("turnover");
---&gt; cálculo: {[0,05 x (1 / 12)] x 100} = {[0,05 x 0,0833] x 100} = {0,0041 x 100} = 0,41%;</t>
        </r>
      </text>
    </comment>
    <comment ref="B78" authorId="2" shapeId="0" xr:uid="{00000000-0006-0000-0300-00001B000000}">
      <text>
        <r>
          <rPr>
            <sz val="9"/>
            <color indexed="81"/>
            <rFont val="Tahoma"/>
            <family val="2"/>
          </rPr>
          <t>* art. 9º, lei n. 7.238 / 84;
---&gt; dado estatístico: considera-se que 2% dos empregados são demitidos na situação em que devem receber indenização adicional;
---&gt; cálculo: [0,02 x (1 / 12)] x 100 = [0,02 x 0,08333] x 100 = 0,001666 x 100 = 0,1666 = 0,17%;</t>
        </r>
      </text>
    </comment>
    <comment ref="B80" authorId="2" shapeId="0" xr:uid="{00000000-0006-0000-0300-00001C000000}">
      <text>
        <r>
          <rPr>
            <sz val="9"/>
            <color indexed="81"/>
            <rFont val="Tahoma"/>
            <family val="2"/>
          </rPr>
          <t>* fundamentação legal: súmula n. 305, tst; instrução normativa n. 25 / 2001, tem e acórdão n. 2.217 / 2010 - plenário (apêndice pág. 52), jurisprudência tcu;</t>
        </r>
      </text>
    </comment>
    <comment ref="B81" authorId="2" shapeId="0" xr:uid="{00000000-0006-0000-0300-00001D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o sub total do aviso prévio com indenização é acrescido pela multa do fgts indenizado (40%), a qual incide sobre a alíquota do fgts (8%), aplicada sobre a adição do custo de referência para o aviso prévio indenizado com a indenização adicional;</t>
        </r>
      </text>
    </comment>
    <comment ref="B82" authorId="2" shapeId="0" xr:uid="{00000000-0006-0000-0300-00001E000000}">
      <text>
        <r>
          <rPr>
            <sz val="9"/>
            <color indexed="81"/>
            <rFont val="Tahoma"/>
            <family val="2"/>
          </rPr>
          <t xml:space="preserve">* fundamentação legal: art. 1o., lei complementar n. 110, de 29 de junho de 2001;
---&gt; cálculo: o sub total do aviso prévio com indenização é acrescido pela contribuição social do fgts indenizado (10%), a qual incide sobre a alíquota do fgts (8%), aplicada sobre a adição do custo de referência para o aviso prévio indenizado com a indenização adicional;
</t>
        </r>
      </text>
    </comment>
    <comment ref="B84" authorId="2" shapeId="0" xr:uid="{00000000-0006-0000-0300-00001F000000}">
      <text>
        <r>
          <rPr>
            <sz val="9"/>
            <color indexed="81"/>
            <rFont val="Tahoma"/>
            <family val="2"/>
          </rPr>
          <t>* art's 7º, XXI, CF/88 e 477, 487 ~ 491, CLT;
---&gt; há uma redução da jornada de trabalho em duas horas por dia ou em sete dias, ao longo do período de aviso prévio;
---&gt; cálculo: {[(7/ 30) / 12] x 100} = {[0,2333 / 12] x 100} = {0,0194 x 100} = 1,94%.</t>
        </r>
      </text>
    </comment>
    <comment ref="B86" authorId="2" shapeId="0" xr:uid="{00000000-0006-0000-0300-000020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percentual da multa do fgts trabalhado (40%), que incide sobre a alíquota do fgts (8%), aplicado sobre o custo de referência do aviso prévio trabalhado;</t>
        </r>
      </text>
    </comment>
    <comment ref="B87" authorId="2" shapeId="0" xr:uid="{00000000-0006-0000-0300-000021000000}">
      <text>
        <r>
          <rPr>
            <sz val="9"/>
            <color indexed="81"/>
            <rFont val="Tahoma"/>
            <family val="2"/>
          </rPr>
          <t>* fundamentação legal: art. 18, § 1o., lei n. 8.036, de 11 de maio de 1990, com redação dada pela lei nº 9.491, de 9 de setembro de 1997;
---&gt; cálculo: percentual da contribuição social sobre fgts (10%), que incide sobre a alíquota do fgts (8%), aplicado sobre o custo de referência do aviso prévio trabalhado;</t>
        </r>
      </text>
    </comment>
    <comment ref="B89" authorId="2" shapeId="0" xr:uid="{00000000-0006-0000-0300-000022000000}">
      <text>
        <r>
          <rPr>
            <sz val="9"/>
            <color indexed="81"/>
            <rFont val="Tahoma"/>
            <family val="2"/>
          </rPr>
          <t xml:space="preserve">* indenização (rescisão sem justa causa);
---&gt; leis n.'s 8.036 / 90 e 9.491 / 97; ainda lei complementar n. 110 / 01;
---&gt; considerando que todos os trabalhadores (100%) serão demitidos sem justa causa ao término do contrato, deve-se aplicar a multa de 40% sobre o montante dos depósitos mensais do fgts (8%);
</t>
        </r>
        <r>
          <rPr>
            <strike/>
            <sz val="9"/>
            <color indexed="81"/>
            <rFont val="Tahoma"/>
            <family val="2"/>
          </rPr>
          <t>---&gt; cálculo: 100/100 x 40/100 x 8/100 x 100 = 3,20%;</t>
        </r>
        <r>
          <rPr>
            <sz val="9"/>
            <color indexed="81"/>
            <rFont val="Tahoma"/>
            <family val="2"/>
          </rPr>
          <t xml:space="preserve">
---&gt; 5% benchmarking Nordeste e Iguassu Serv</t>
        </r>
      </text>
    </comment>
    <comment ref="B90" authorId="2" shapeId="0" xr:uid="{00000000-0006-0000-0300-000023000000}">
      <text>
        <r>
          <rPr>
            <sz val="9"/>
            <color indexed="81"/>
            <rFont val="Tahoma"/>
            <family val="2"/>
          </rPr>
          <t>* indenização (rescisão sem justa causa);
---&gt; leis n.'s 8.036 / 90 e 9.491 / 97; ainda lei complementar n. 110 / 01;
---&gt; considerando que todos os trabalhadores (100%) serão demitidos sem justa causa ao término do contrato, deve-se recolher a contribuição social de 10% sobre o montante dos depósitos mensais do fgts (8%);
---&gt; cálculo: 100/100 x 10/100 x 8/100 x 100 = 0,80%;</t>
        </r>
      </text>
    </comment>
    <comment ref="B98" authorId="2" shapeId="0" xr:uid="{00000000-0006-0000-0300-000024000000}">
      <text>
        <r>
          <rPr>
            <sz val="9"/>
            <color indexed="81"/>
            <rFont val="Tahoma"/>
            <family val="2"/>
          </rPr>
          <t>* art's. 129 e 130, inc. I, decreto lei n. 5.452 / 43 - CLT -, de 01/05/1943;
---&gt; cáculo: 1/12x100 = 8,33%;</t>
        </r>
      </text>
    </comment>
    <comment ref="B99" authorId="2" shapeId="0" xr:uid="{00000000-0006-0000-0300-000025000000}">
      <text>
        <r>
          <rPr>
            <sz val="9"/>
            <color indexed="81"/>
            <rFont val="Tahoma"/>
            <family val="2"/>
          </rPr>
          <t>* fundamentação legal: art. 131, inc. III, CLT;
---&gt; dado estatístico ibge: em média, cada trabalhador origina 5 (cinco) faltas justificadas anuais, motivadas por algum tipo de doença; ---&gt; cálculo: 5/30/12x100 = 1,39%;</t>
        </r>
      </text>
    </comment>
    <comment ref="B100" authorId="2" shapeId="0" xr:uid="{00000000-0006-0000-0300-000026000000}">
      <text>
        <r>
          <rPr>
            <sz val="9"/>
            <color indexed="81"/>
            <rFont val="Tahoma"/>
            <family val="2"/>
          </rPr>
          <t>* fundamentação legal: art. 7o., inc. XIX, c. f. / 1988 e - art. 10, § 1º, adct;
dado estatístico ibge: nascem filhos de 1,5% dos trabalhadores no período de um ano;
cálculo: 5/30/12*1,5/100x100 = 0,02%;</t>
        </r>
      </text>
    </comment>
    <comment ref="B101" authorId="2" shapeId="0" xr:uid="{00000000-0006-0000-0300-000027000000}">
      <text>
        <r>
          <rPr>
            <sz val="9"/>
            <color indexed="81"/>
            <rFont val="Tahoma"/>
            <family val="2"/>
          </rPr>
          <t xml:space="preserve">* fundamentação legal: art. 473, CLT;
---&gt; incidências: morte de cônjuge, ascendente, descendente ou casamento ou nascimento de filho ou doação de sangue ou alistamento eleitoral ou serviço militar ou comparecimento a juízo ou realização de vestibular;
---&gt; dado estatístico ibge: cada empregado falta 1 (um) dia por ano, a esse título;
---&gt; cálculo: {[(1÷30)÷12]x100} = {[0,0333÷12]x100} = {0,0028x100} = 0,28% </t>
        </r>
      </text>
    </comment>
    <comment ref="B102" authorId="2" shapeId="0" xr:uid="{00000000-0006-0000-0300-000028000000}">
      <text>
        <r>
          <rPr>
            <sz val="9"/>
            <color indexed="81"/>
            <rFont val="Tahoma"/>
            <family val="2"/>
          </rPr>
          <t>* fundamentação legal: art. 131, c. l. t.; art. 27, decreto n. 89.312 de 23/01/1984; art's. 19 ~ 23, lei n. 8.213/91;
---&gt; dado estatístico ibge: 8% (oito por cento) dos empregados se acidentam no ano;
---&gt; cálculo: ((15/30) / 12 x 0,08 x 100 = 0,33%</t>
        </r>
      </text>
    </comment>
    <comment ref="B103" authorId="2" shapeId="0" xr:uid="{00000000-0006-0000-0300-000029000000}">
      <text>
        <r>
          <rPr>
            <sz val="9"/>
            <color indexed="81"/>
            <rFont val="Tahoma"/>
            <family val="2"/>
          </rPr>
          <t>---&gt; cálculo: custo do treinamento ÷ número de pessoas treinadas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Alessandro Cardoso Da Silva</author>
  </authors>
  <commentList>
    <comment ref="D21" authorId="0" shapeId="0" xr:uid="{A0EF28CD-636E-4392-9580-9E630B00D914}">
      <text>
        <r>
          <rPr>
            <b/>
            <sz val="9"/>
            <color indexed="81"/>
            <rFont val="Segoe UI"/>
            <charset val="1"/>
          </rPr>
          <t>Alessandro Cardoso Da Silva:</t>
        </r>
        <r>
          <rPr>
            <sz val="9"/>
            <color indexed="81"/>
            <rFont val="Segoe UI"/>
            <charset val="1"/>
          </rPr>
          <t xml:space="preserve">
https://nextfit.com.br/sistema-para-academia/
</t>
        </r>
      </text>
    </comment>
  </commentList>
</comments>
</file>

<file path=xl/sharedStrings.xml><?xml version="1.0" encoding="utf-8"?>
<sst xmlns="http://schemas.openxmlformats.org/spreadsheetml/2006/main" count="412" uniqueCount="220">
  <si>
    <t>PLANILHA DE PREÇOS (12 MESES)</t>
  </si>
  <si>
    <t>Serviços de Atividades Físicas, Ginástica Laboral, Ergonomia e Qualidade de Vida</t>
  </si>
  <si>
    <t>Tipo de atendimento</t>
  </si>
  <si>
    <t>Item</t>
  </si>
  <si>
    <t>Preço Unitário (RS)</t>
  </si>
  <si>
    <t>Quantidade Estimada</t>
  </si>
  <si>
    <t>Preço Total
(R$)</t>
  </si>
  <si>
    <t>Contínuo</t>
  </si>
  <si>
    <t>Mensalidade</t>
  </si>
  <si>
    <t>Esporádico</t>
  </si>
  <si>
    <t>Caminhadas e Corridas do Reviver</t>
  </si>
  <si>
    <t>Caminhadas e Corridas da Integração</t>
  </si>
  <si>
    <t>Caminhadas e Corridas Virtual</t>
  </si>
  <si>
    <t>Caminhadas e Corridas Noturnas do Reviver</t>
  </si>
  <si>
    <t>Semana do Bem-Estar</t>
  </si>
  <si>
    <t>Eventos Esportivos</t>
  </si>
  <si>
    <t>PREÇO TOTAL GERAL</t>
  </si>
  <si>
    <t>NOTAS:</t>
  </si>
  <si>
    <t>PLANILHA AUXILIAR DE COMPOSIÇÃO DOS PREÇOS</t>
  </si>
  <si>
    <t>Serviços de Atividades Físicas, Ginástica Laboral e Ergonomia</t>
  </si>
  <si>
    <r>
      <t xml:space="preserve">Mensalidade </t>
    </r>
    <r>
      <rPr>
        <sz val="9"/>
        <color theme="1" tint="0.249977111117893"/>
        <rFont val="Trebuchet MS"/>
        <family val="2"/>
      </rPr>
      <t>(custos fixos)</t>
    </r>
  </si>
  <si>
    <t>Valor</t>
  </si>
  <si>
    <t>custo com pessoal</t>
  </si>
  <si>
    <t>custo com documentação e seguros dos veículos</t>
  </si>
  <si>
    <t>custos administrativos</t>
  </si>
  <si>
    <t>custos sistema de gestão de academia</t>
  </si>
  <si>
    <t>depreciação de capital</t>
  </si>
  <si>
    <t>remuneração de capital</t>
  </si>
  <si>
    <t>outros (custos, encargos, lucro, etc.)</t>
  </si>
  <si>
    <t>Total contrato</t>
  </si>
  <si>
    <t>Total mensal (A)</t>
  </si>
  <si>
    <r>
      <t xml:space="preserve">Km rodado </t>
    </r>
    <r>
      <rPr>
        <sz val="9"/>
        <color theme="1" tint="0.249977111117893"/>
        <rFont val="Trebuchet MS"/>
        <family val="2"/>
      </rPr>
      <t>(custos variáveis estimativa 118.000km/ano)</t>
    </r>
  </si>
  <si>
    <t>combustíveis</t>
  </si>
  <si>
    <t>óleos lubrificantes</t>
  </si>
  <si>
    <t>rodagems</t>
  </si>
  <si>
    <t>manutenção</t>
  </si>
  <si>
    <t>lavagem e lubrificação</t>
  </si>
  <si>
    <t>Total mensal por veículo (B)</t>
  </si>
  <si>
    <t>Valor mensal previsto (A + B)</t>
  </si>
  <si>
    <t>Valor do contrato</t>
  </si>
  <si>
    <t>MÃO DE OBRA VINCULADA À EXECUÇÃO CONTRATUAL</t>
  </si>
  <si>
    <t>Rubrica</t>
  </si>
  <si>
    <t>Professor</t>
  </si>
  <si>
    <t>Professor com especialização</t>
  </si>
  <si>
    <t>Coordenador de equipe</t>
  </si>
  <si>
    <t>indicações</t>
  </si>
  <si>
    <t>referência</t>
  </si>
  <si>
    <t>salário normativo da categoria profissional (base julho / 2023)</t>
  </si>
  <si>
    <t>entidade sindical profissional da categoria diferenciada</t>
  </si>
  <si>
    <t>SINPROPAR/APP SINDICATO</t>
  </si>
  <si>
    <t>data base da categoria (dia / mês / ano)</t>
  </si>
  <si>
    <t>correção salarial base junho / 2018</t>
  </si>
  <si>
    <t>%</t>
  </si>
  <si>
    <t>valor (R$)</t>
  </si>
  <si>
    <t>previsão de reajuste</t>
  </si>
  <si>
    <t>I</t>
  </si>
  <si>
    <t>grupo I</t>
  </si>
  <si>
    <t>composição da remuneração</t>
  </si>
  <si>
    <t>A</t>
  </si>
  <si>
    <t>salário base</t>
  </si>
  <si>
    <t>B</t>
  </si>
  <si>
    <t>Adicional para dedicação tempo integral (15% sobre o salário base)</t>
  </si>
  <si>
    <t>C</t>
  </si>
  <si>
    <t>Adicional Hora atividade (12% sobre salário base)</t>
  </si>
  <si>
    <t>D</t>
  </si>
  <si>
    <t>Gratificação função coordenador de equipe (20%)</t>
  </si>
  <si>
    <t>-</t>
  </si>
  <si>
    <t>E</t>
  </si>
  <si>
    <t>Gratificação titulação professor especialista (15%)</t>
  </si>
  <si>
    <t>sub total</t>
  </si>
  <si>
    <t>F</t>
  </si>
  <si>
    <t>reserva técnica direta</t>
  </si>
  <si>
    <t>total</t>
  </si>
  <si>
    <t>II</t>
  </si>
  <si>
    <t>grupo II</t>
  </si>
  <si>
    <t>benefícios mensais e diários</t>
  </si>
  <si>
    <t>ajuda de custo transporte</t>
  </si>
  <si>
    <t>vale mercado = R$ 329,03 * 13 / 12</t>
  </si>
  <si>
    <t>vale alimentação = (R$ 685,00 + atualização prev de 5,8%) * 13 / 12</t>
  </si>
  <si>
    <t>Gratificação Natalina = Salário mínimo vigente</t>
  </si>
  <si>
    <t>fundo de formação profissional = 50% * 1 dia salário por ano</t>
  </si>
  <si>
    <t>salário família filho inválido</t>
  </si>
  <si>
    <t>G</t>
  </si>
  <si>
    <t>plano de saúde - categoria ambulatorial (exigência contratual) *13/12</t>
  </si>
  <si>
    <t>H</t>
  </si>
  <si>
    <t>seguro de vida (exigência contratual); valor de 12 salários base por empregado por ano</t>
  </si>
  <si>
    <t>III</t>
  </si>
  <si>
    <t>grupo III</t>
  </si>
  <si>
    <t>insumos diversos</t>
  </si>
  <si>
    <t>uniforme ou epi (quantidade de peças de acordo com exigência contratual)</t>
  </si>
  <si>
    <t>outros (detalhar)</t>
  </si>
  <si>
    <t>IV</t>
  </si>
  <si>
    <t>grupo IV</t>
  </si>
  <si>
    <t>encargos trabalhistas, sociais e econômicos</t>
  </si>
  <si>
    <t>IV.1</t>
  </si>
  <si>
    <t>sub grupo IV.1</t>
  </si>
  <si>
    <t>obrigações previdenciárias e fgts</t>
  </si>
  <si>
    <t>inss</t>
  </si>
  <si>
    <t>sest ou sesi ou sesc</t>
  </si>
  <si>
    <t>senat ou senai ou senac</t>
  </si>
  <si>
    <t>incra</t>
  </si>
  <si>
    <t>salário educação</t>
  </si>
  <si>
    <t>fgts</t>
  </si>
  <si>
    <t>seguro acidente de trabalho (rat = 3% e fap = 1)</t>
  </si>
  <si>
    <t>sebrae</t>
  </si>
  <si>
    <t>IV.2</t>
  </si>
  <si>
    <t>sub grupo IV.2</t>
  </si>
  <si>
    <t>13o. salário e abono de férias</t>
  </si>
  <si>
    <t>gratificação de natal</t>
  </si>
  <si>
    <t>acréscimo nas férias</t>
  </si>
  <si>
    <t>incidência sub grupo IV.1 sobre sub grupo IV.2</t>
  </si>
  <si>
    <t>IV.3</t>
  </si>
  <si>
    <t>sub grupo IV.3</t>
  </si>
  <si>
    <t>licença maternidade</t>
  </si>
  <si>
    <t>férias em relação ao afastamento maternidade</t>
  </si>
  <si>
    <t>férias em relação à prorrogação licença maternidade (programa empresa cidadã)</t>
  </si>
  <si>
    <t>sub total 1</t>
  </si>
  <si>
    <t>incidência sub grupo IV.1 sobre sub grupo IV.3</t>
  </si>
  <si>
    <t>sub total 2</t>
  </si>
  <si>
    <t>reserva técnica relativa</t>
  </si>
  <si>
    <t>IV.4</t>
  </si>
  <si>
    <t>sub grupo IV.4</t>
  </si>
  <si>
    <t>provisão para rescisão</t>
  </si>
  <si>
    <t>aviso prévio indenizado</t>
  </si>
  <si>
    <t>indenização adicional dispensa trintídio anterior data base categoria</t>
  </si>
  <si>
    <t>incidência fgts sobre aviso prévio com indenização</t>
  </si>
  <si>
    <t>multa fgts do aviso prévio com indenização</t>
  </si>
  <si>
    <t>contribuição social fgts do aviso prévio com indenização</t>
  </si>
  <si>
    <t>sub total acumulado 1</t>
  </si>
  <si>
    <t>aviso prévio trabalhado</t>
  </si>
  <si>
    <t xml:space="preserve">incidência do sub grupo IV.1 sobre aviso prévio trabalhado  </t>
  </si>
  <si>
    <t>multa fgts do aviso prévio trabalhado</t>
  </si>
  <si>
    <t>contribuição social fgts do aviso prévio trabalhado</t>
  </si>
  <si>
    <t>J</t>
  </si>
  <si>
    <t>depósito fgts por rescisão sem justa causa</t>
  </si>
  <si>
    <t>K</t>
  </si>
  <si>
    <t>contribuição social fgts por rescisão sem justa causa</t>
  </si>
  <si>
    <t>sub total 3</t>
  </si>
  <si>
    <t>sub total acumulado 2</t>
  </si>
  <si>
    <t>L</t>
  </si>
  <si>
    <t>IV.5</t>
  </si>
  <si>
    <t>sub grupo IV.5</t>
  </si>
  <si>
    <t>reposição profissional ausente</t>
  </si>
  <si>
    <t>férias</t>
  </si>
  <si>
    <t>afastamento por doença</t>
  </si>
  <si>
    <t>licença paternidade</t>
  </si>
  <si>
    <t>faltas legais</t>
  </si>
  <si>
    <t>acidente do trabalho</t>
  </si>
  <si>
    <t>treinamento</t>
  </si>
  <si>
    <t>incidência sub grupo IV.1 sobre sub grupo IV.5</t>
  </si>
  <si>
    <t>resumo</t>
  </si>
  <si>
    <t>IV.6</t>
  </si>
  <si>
    <t>CUSTO POR EMPREGADO</t>
  </si>
  <si>
    <t>Grupo</t>
  </si>
  <si>
    <t>V</t>
  </si>
  <si>
    <t>CUSTO TOTAL</t>
  </si>
  <si>
    <t>08 professores, 06 professores especialistas e 01 coordenador de equipe (60 meses)</t>
  </si>
  <si>
    <t>IPVA</t>
  </si>
  <si>
    <t>benchmarking contratada atual 2,5%, estimativa média do IPVA considerando depreciação ao longo do tempo</t>
  </si>
  <si>
    <t>Licenciamento</t>
  </si>
  <si>
    <t>benchmarking pesquisa de mercado</t>
  </si>
  <si>
    <t>DPVAT</t>
  </si>
  <si>
    <t>Seguro facultativo / veic / ano</t>
  </si>
  <si>
    <t>Total (ano)</t>
  </si>
  <si>
    <t>Total por veículo no contrato (12 meses)</t>
  </si>
  <si>
    <t>Ambulância 24h</t>
  </si>
  <si>
    <t>Veículos para deslocamento de profissionais</t>
  </si>
  <si>
    <t>previsto uso de 6 veículos para atendimento dos deslocamentos</t>
  </si>
  <si>
    <t>custo com deslocamento indireto</t>
  </si>
  <si>
    <t>Deslocamento estimado em km / dia / veiculo</t>
  </si>
  <si>
    <t>dias / ano</t>
  </si>
  <si>
    <t>deslocamento estimado / ano</t>
  </si>
  <si>
    <t>deslocamento estimado / veiculo</t>
  </si>
  <si>
    <t>Custo unitario km rodado (descontado lucro)</t>
  </si>
  <si>
    <t>Custo do deslocamento indireto no contrato / veiculo</t>
  </si>
  <si>
    <t>custo com sistemas de gestão de academias</t>
  </si>
  <si>
    <t>Referências Nextfit, Sys Academia, Cloudgym entre outros</t>
  </si>
  <si>
    <t>Custo de implantação</t>
  </si>
  <si>
    <t>Total no primeiro ano do contrato</t>
  </si>
  <si>
    <t>Custo total no contrato</t>
  </si>
  <si>
    <t>Despesas administrativas</t>
  </si>
  <si>
    <r>
      <t xml:space="preserve">benchmarking pesquisa de mercado </t>
    </r>
    <r>
      <rPr>
        <i/>
        <sz val="10"/>
        <color rgb="FFFF0000"/>
        <rFont val="Trebuchet MS"/>
        <family val="2"/>
      </rPr>
      <t>( equiv. 4,8% do custo total)</t>
    </r>
    <r>
      <rPr>
        <i/>
        <sz val="10"/>
        <color theme="1"/>
        <rFont val="Trebuchet MS"/>
        <family val="2"/>
      </rPr>
      <t xml:space="preserve">. De acordo com metodologia para planilhas de composição de custos </t>
    </r>
    <r>
      <rPr>
        <i/>
        <sz val="10"/>
        <color rgb="FFFF0000"/>
        <rFont val="Trebuchet MS"/>
        <family val="2"/>
      </rPr>
      <t>é comum utilizar 5%.</t>
    </r>
  </si>
  <si>
    <t>Reajuste estimado de 5%</t>
  </si>
  <si>
    <t>Meses</t>
  </si>
  <si>
    <t>Total por veículo</t>
  </si>
  <si>
    <t>Valor dos veículos utilizados no deslocamento de empregados</t>
  </si>
  <si>
    <t>Veículo passeio com idade média de até 05 anos</t>
  </si>
  <si>
    <t>Valor dos kits de laboral e insumos</t>
  </si>
  <si>
    <t>Benchmarking contratada atual</t>
  </si>
  <si>
    <t xml:space="preserve">Valor total de capital imobilizado </t>
  </si>
  <si>
    <t>Taxa de depreciação (12 meses)</t>
  </si>
  <si>
    <t>Consulta tabela FIPE + média depreciação contábil</t>
  </si>
  <si>
    <t>Depreciação do capital em 12 meses</t>
  </si>
  <si>
    <t>Total Contrato</t>
  </si>
  <si>
    <t>Valor do veículo utilizado no deslocamento de empregados</t>
  </si>
  <si>
    <t>Taxa de remuneração de capital (anual)</t>
  </si>
  <si>
    <t>Média entre Taxa Selic e propostas das atuais contratadas</t>
  </si>
  <si>
    <t>Remuneração do capital por veículo (anual)</t>
  </si>
  <si>
    <t>outros (custos, encargos, lucros, etc.)</t>
  </si>
  <si>
    <t>Alíquota ISSQN</t>
  </si>
  <si>
    <t>Lei Complementar 30/2022 Foz do Iguaçu</t>
  </si>
  <si>
    <t>Margem de lucro</t>
  </si>
  <si>
    <t>Outros tributos</t>
  </si>
  <si>
    <t>margem reserva para IR, PIS-COFINS, CSLL, etc.</t>
  </si>
  <si>
    <t>Subtotal "A" custos fixos</t>
  </si>
  <si>
    <t>calculado por dentro</t>
  </si>
  <si>
    <t>Custo com combustível por km rodado</t>
  </si>
  <si>
    <t>PBE Inmetro (eficiência energética), calculado sobre o preço  médio do Etanol em 05/02/2024. Veículo ref. Passeio 1.0 com média de 9km/litro de etanol</t>
  </si>
  <si>
    <t>Reajuste estimado de 3%</t>
  </si>
  <si>
    <t>Quilometragem estimada</t>
  </si>
  <si>
    <t>Total</t>
  </si>
  <si>
    <t>Custo com lubrificantes por km rodado</t>
  </si>
  <si>
    <t>benchmarking tabela de revisões de veículo de passeio 1.0 ano 2020 ou superior</t>
  </si>
  <si>
    <t>rodagem</t>
  </si>
  <si>
    <t>Custo com rodagem por km rodado</t>
  </si>
  <si>
    <t>Custo com manutenção por km rodado</t>
  </si>
  <si>
    <t>Custo com lavagem/lubrific. por km rodado</t>
  </si>
  <si>
    <t>Subtotal "A" custos variáveis</t>
  </si>
  <si>
    <t>Itens sob demanda - Item 10.8 das Especificações Técnicas</t>
  </si>
  <si>
    <r>
      <rPr>
        <b/>
        <sz val="10"/>
        <color rgb="FF3333FF"/>
        <rFont val="Trebuchet MS"/>
        <family val="2"/>
      </rPr>
      <t xml:space="preserve">1. Célula Valor Unitário para o item mensalidade está bloqueada. Deverá ser preenchida todas informações nas abas 2 à 5 para o cálculo do valor a ser apresentado para o item mensalidade.
</t>
    </r>
    <r>
      <rPr>
        <sz val="10"/>
        <color theme="1"/>
        <rFont val="Trebuchet MS"/>
        <family val="2"/>
      </rPr>
      <t>2. A base dos salários dos professores está amparada pelo piso salarial da categoria e CCT (vigência 01/07/2023 – 30/06/2024), onde foram utilizados como referência o SINPROPAR e APP Sindicato no estado do Paraná.                                                                                                                                
3. A contratada poderá aderir aos CCTs vigentes para a categoria, ou celebrar acordo legalmente aceito desde que respeitados os pisos das categorias profissionais.
4. As quantidades indicadas são meramente estimativas destinando-se unicamente à uniformização e julgamento das propostas comerciais e não representam garantia de faturamento ou de exatidão, tampouco poderão ser alteradas para efeito de preenchimento e cálculo de valores.
5. Os preços são propostos considerando as condições tributárias previstas no item 2.4 do CBC e todos os custos, obrigações, despesas diretas e indiretas e encargos inerentes ao objeto contratado, não podendo ser atribuída à ITAIPU nenhuma despesa adicional, a qualquer título.
6. Os preços deverão considerar os pisos das categorias profissionais e acordos ou convenções coletivas celebradas para as categorias no munícipio de Foz do Iguaçu - PR.
7</t>
    </r>
    <r>
      <rPr>
        <b/>
        <sz val="10"/>
        <color rgb="FF3333FF"/>
        <rFont val="Trebuchet MS"/>
        <family val="2"/>
      </rPr>
      <t>. Na proposta comercial foi considerado pela PROPONENTE o integral atendimento as Clásulas Sociais de ITAIPU, previstas na Cláusula 8ª da Minuta de Contrato - Anexo IV.</t>
    </r>
    <r>
      <rPr>
        <sz val="10"/>
        <color theme="1"/>
        <rFont val="Trebuchet MS"/>
        <family val="2"/>
      </rPr>
      <t xml:space="preserve">                                                                                                 
</t>
    </r>
    <r>
      <rPr>
        <b/>
        <sz val="10"/>
        <color rgb="FF3333FF"/>
        <rFont val="Trebuchet MS"/>
        <family val="2"/>
      </rPr>
      <t>8. O valor previsto para pagamento dos itens sob demanda não será objeto de disputa pelas proponentes, não deverá ser alterado e deverá ser considerado no valor total da Proposta Comercial.                                                                   
9. O valor previsto para pagamento dos itens sob demanda (R$ 88.500,00) é fixo para 12 meses e está incluído no valor total da Proposta Comercial.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</si>
</sst>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416]d\ \ mmmm\,\ yyyy;@"/>
    <numFmt numFmtId="165" formatCode="_(* #,##0.00_);_(* \(#,##0.00\);_(* &quot;-&quot;??_);_(@_)"/>
    <numFmt numFmtId="166" formatCode="#,##0.00_ ;[Red]\-#,##0.00\ "/>
    <numFmt numFmtId="167" formatCode="0.00_ ;[Red]\-0.00\ "/>
    <numFmt numFmtId="168" formatCode="0.0%"/>
    <numFmt numFmtId="169" formatCode="#,##0_ ;\-#,##0\ "/>
    <numFmt numFmtId="170" formatCode="#,##0.00_ ;\-#,##0.00\ "/>
    <numFmt numFmtId="171" formatCode="_-* #,##0_-;\-* #,##0_-;_-* &quot;-&quot;??_-;_-@_-"/>
    <numFmt numFmtId="172" formatCode="0.000%"/>
    <numFmt numFmtId="173" formatCode="_-&quot;R$&quot;\ * #,##0.0000_-;\-&quot;R$&quot;\ * #,##0.0000_-;_-&quot;R$&quot;\ * &quot;-&quot;??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i/>
      <sz val="11"/>
      <color theme="1"/>
      <name val="Trebuchet MS"/>
      <family val="2"/>
    </font>
    <font>
      <i/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Trebuchet MS"/>
      <family val="2"/>
    </font>
    <font>
      <b/>
      <i/>
      <sz val="11"/>
      <color theme="1"/>
      <name val="Trebuchet M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i/>
      <sz val="10"/>
      <color rgb="FFFF0000"/>
      <name val="Trebuchet MS"/>
      <family val="2"/>
    </font>
    <font>
      <b/>
      <i/>
      <sz val="14"/>
      <color theme="1"/>
      <name val="Trebuchet MS"/>
      <family val="2"/>
    </font>
    <font>
      <b/>
      <sz val="14"/>
      <name val="Trebuchet MS"/>
      <family val="2"/>
    </font>
    <font>
      <i/>
      <sz val="12"/>
      <color theme="1"/>
      <name val="Trebuchet MS"/>
      <family val="2"/>
    </font>
    <font>
      <b/>
      <i/>
      <sz val="10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i/>
      <sz val="10"/>
      <name val="Trebuchet MS"/>
      <family val="2"/>
    </font>
    <font>
      <b/>
      <sz val="11"/>
      <name val="Trebuchet MS"/>
      <family val="2"/>
    </font>
    <font>
      <sz val="9"/>
      <color theme="1" tint="0.249977111117893"/>
      <name val="Trebuchet MS"/>
      <family val="2"/>
    </font>
    <font>
      <strike/>
      <sz val="9"/>
      <color indexed="81"/>
      <name val="Tahoma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0"/>
      <color rgb="FF3333FF"/>
      <name val="Trebuchet MS"/>
      <family val="2"/>
    </font>
    <font>
      <b/>
      <i/>
      <sz val="10"/>
      <color rgb="FF3333FF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0" fillId="0" borderId="0"/>
  </cellStyleXfs>
  <cellXfs count="239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2" borderId="0" xfId="0" applyFont="1" applyFill="1"/>
    <xf numFmtId="7" fontId="1" fillId="0" borderId="0" xfId="0" applyNumberFormat="1" applyFont="1"/>
    <xf numFmtId="0" fontId="1" fillId="0" borderId="0" xfId="0" applyFont="1" applyAlignment="1">
      <alignment horizontal="left"/>
    </xf>
    <xf numFmtId="0" fontId="13" fillId="0" borderId="0" xfId="0" applyFont="1"/>
    <xf numFmtId="0" fontId="2" fillId="0" borderId="0" xfId="0" applyFont="1"/>
    <xf numFmtId="0" fontId="3" fillId="0" borderId="0" xfId="0" applyFont="1"/>
    <xf numFmtId="44" fontId="1" fillId="0" borderId="0" xfId="1" applyFont="1"/>
    <xf numFmtId="44" fontId="1" fillId="0" borderId="0" xfId="0" applyNumberFormat="1" applyFont="1"/>
    <xf numFmtId="171" fontId="1" fillId="0" borderId="0" xfId="7" applyNumberFormat="1" applyFont="1"/>
    <xf numFmtId="0" fontId="1" fillId="0" borderId="0" xfId="0" applyFont="1" applyAlignment="1">
      <alignment horizontal="right"/>
    </xf>
    <xf numFmtId="10" fontId="1" fillId="0" borderId="0" xfId="2" applyNumberFormat="1" applyFont="1"/>
    <xf numFmtId="0" fontId="15" fillId="0" borderId="0" xfId="0" applyFont="1"/>
    <xf numFmtId="44" fontId="1" fillId="4" borderId="0" xfId="0" applyNumberFormat="1" applyFont="1" applyFill="1"/>
    <xf numFmtId="44" fontId="1" fillId="4" borderId="0" xfId="1" applyFont="1" applyFill="1"/>
    <xf numFmtId="172" fontId="1" fillId="0" borderId="0" xfId="2" applyNumberFormat="1" applyFont="1"/>
    <xf numFmtId="171" fontId="1" fillId="0" borderId="0" xfId="7" applyNumberFormat="1" applyFont="1" applyFill="1" applyBorder="1"/>
    <xf numFmtId="173" fontId="1" fillId="0" borderId="0" xfId="1" applyNumberFormat="1" applyFont="1" applyFill="1" applyBorder="1"/>
    <xf numFmtId="173" fontId="1" fillId="0" borderId="0" xfId="1" applyNumberFormat="1" applyFont="1"/>
    <xf numFmtId="7" fontId="1" fillId="0" borderId="0" xfId="1" applyNumberFormat="1" applyFont="1" applyFill="1"/>
    <xf numFmtId="0" fontId="3" fillId="2" borderId="13" xfId="0" applyFont="1" applyFill="1" applyBorder="1" applyAlignment="1">
      <alignment horizontal="right"/>
    </xf>
    <xf numFmtId="44" fontId="3" fillId="2" borderId="16" xfId="1" applyFont="1" applyFill="1" applyBorder="1"/>
    <xf numFmtId="0" fontId="3" fillId="2" borderId="17" xfId="0" applyFont="1" applyFill="1" applyBorder="1" applyAlignment="1">
      <alignment horizontal="right"/>
    </xf>
    <xf numFmtId="44" fontId="3" fillId="2" borderId="20" xfId="1" applyFont="1" applyFill="1" applyBorder="1"/>
    <xf numFmtId="0" fontId="11" fillId="6" borderId="7" xfId="0" applyFont="1" applyFill="1" applyBorder="1" applyAlignment="1">
      <alignment horizontal="center"/>
    </xf>
    <xf numFmtId="0" fontId="1" fillId="3" borderId="5" xfId="0" applyFont="1" applyFill="1" applyBorder="1" applyAlignment="1">
      <alignment vertical="center"/>
    </xf>
    <xf numFmtId="9" fontId="1" fillId="0" borderId="0" xfId="0" applyNumberFormat="1" applyFont="1"/>
    <xf numFmtId="10" fontId="21" fillId="0" borderId="7" xfId="0" applyNumberFormat="1" applyFont="1" applyBorder="1" applyAlignment="1">
      <alignment horizontal="right" vertical="center"/>
    </xf>
    <xf numFmtId="165" fontId="21" fillId="0" borderId="7" xfId="3" applyFont="1" applyBorder="1" applyAlignment="1">
      <alignment horizontal="right" vertical="center"/>
    </xf>
    <xf numFmtId="0" fontId="13" fillId="3" borderId="5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8" fillId="5" borderId="7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/>
    </xf>
    <xf numFmtId="10" fontId="3" fillId="0" borderId="7" xfId="0" applyNumberFormat="1" applyFont="1" applyBorder="1" applyAlignment="1">
      <alignment vertical="center"/>
    </xf>
    <xf numFmtId="166" fontId="21" fillId="0" borderId="7" xfId="3" applyNumberFormat="1" applyFont="1" applyBorder="1" applyAlignment="1" applyProtection="1">
      <alignment horizontal="right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/>
    </xf>
    <xf numFmtId="167" fontId="21" fillId="0" borderId="7" xfId="3" applyNumberFormat="1" applyFont="1" applyBorder="1" applyAlignment="1" applyProtection="1">
      <alignment horizontal="right" vertical="center"/>
    </xf>
    <xf numFmtId="0" fontId="13" fillId="3" borderId="8" xfId="0" applyFont="1" applyFill="1" applyBorder="1" applyAlignment="1">
      <alignment vertical="center"/>
    </xf>
    <xf numFmtId="0" fontId="13" fillId="3" borderId="6" xfId="0" applyFont="1" applyFill="1" applyBorder="1" applyAlignment="1">
      <alignment vertical="center"/>
    </xf>
    <xf numFmtId="0" fontId="13" fillId="3" borderId="11" xfId="0" applyFont="1" applyFill="1" applyBorder="1" applyAlignment="1">
      <alignment vertical="center"/>
    </xf>
    <xf numFmtId="0" fontId="13" fillId="3" borderId="12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6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 wrapText="1"/>
    </xf>
    <xf numFmtId="9" fontId="21" fillId="0" borderId="7" xfId="0" applyNumberFormat="1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12" xfId="0" applyFont="1" applyFill="1" applyBorder="1" applyAlignment="1">
      <alignment vertical="center"/>
    </xf>
    <xf numFmtId="9" fontId="21" fillId="2" borderId="7" xfId="0" applyNumberFormat="1" applyFont="1" applyFill="1" applyBorder="1" applyAlignment="1">
      <alignment horizontal="center" vertical="center" wrapText="1"/>
    </xf>
    <xf numFmtId="166" fontId="21" fillId="0" borderId="7" xfId="0" applyNumberFormat="1" applyFont="1" applyBorder="1" applyAlignment="1">
      <alignment horizontal="right" vertical="center"/>
    </xf>
    <xf numFmtId="166" fontId="21" fillId="0" borderId="7" xfId="3" applyNumberFormat="1" applyFont="1" applyBorder="1" applyAlignment="1">
      <alignment horizontal="right" vertical="center"/>
    </xf>
    <xf numFmtId="10" fontId="18" fillId="5" borderId="7" xfId="2" applyNumberFormat="1" applyFont="1" applyFill="1" applyBorder="1" applyAlignment="1">
      <alignment horizontal="right" vertical="center" wrapText="1"/>
    </xf>
    <xf numFmtId="43" fontId="18" fillId="5" borderId="7" xfId="4" applyFont="1" applyFill="1" applyBorder="1" applyAlignment="1">
      <alignment horizontal="right" vertical="center" wrapText="1"/>
    </xf>
    <xf numFmtId="0" fontId="21" fillId="0" borderId="16" xfId="0" applyFont="1" applyBorder="1" applyAlignment="1">
      <alignment horizontal="center" vertical="center"/>
    </xf>
    <xf numFmtId="9" fontId="21" fillId="0" borderId="16" xfId="0" applyNumberFormat="1" applyFont="1" applyBorder="1" applyAlignment="1">
      <alignment horizontal="right" vertical="center"/>
    </xf>
    <xf numFmtId="165" fontId="21" fillId="0" borderId="16" xfId="3" applyFont="1" applyBorder="1" applyAlignment="1">
      <alignment horizontal="right" vertical="center"/>
    </xf>
    <xf numFmtId="0" fontId="21" fillId="0" borderId="20" xfId="0" applyFont="1" applyBorder="1" applyAlignment="1">
      <alignment horizontal="center" vertical="center"/>
    </xf>
    <xf numFmtId="168" fontId="21" fillId="0" borderId="20" xfId="0" applyNumberFormat="1" applyFont="1" applyBorder="1" applyAlignment="1">
      <alignment horizontal="right" vertical="center"/>
    </xf>
    <xf numFmtId="165" fontId="21" fillId="0" borderId="20" xfId="3" applyFont="1" applyBorder="1" applyAlignment="1">
      <alignment horizontal="right" vertical="center"/>
    </xf>
    <xf numFmtId="9" fontId="21" fillId="0" borderId="20" xfId="0" applyNumberFormat="1" applyFont="1" applyBorder="1" applyAlignment="1">
      <alignment horizontal="right" vertical="center"/>
    </xf>
    <xf numFmtId="168" fontId="21" fillId="0" borderId="21" xfId="0" applyNumberFormat="1" applyFont="1" applyBorder="1" applyAlignment="1">
      <alignment horizontal="right" vertical="center"/>
    </xf>
    <xf numFmtId="165" fontId="21" fillId="0" borderId="21" xfId="3" applyFont="1" applyBorder="1" applyAlignment="1">
      <alignment horizontal="right" vertical="center"/>
    </xf>
    <xf numFmtId="10" fontId="21" fillId="5" borderId="7" xfId="5" applyNumberFormat="1" applyFont="1" applyFill="1" applyBorder="1" applyAlignment="1">
      <alignment horizontal="right" vertical="center" wrapText="1"/>
    </xf>
    <xf numFmtId="43" fontId="21" fillId="5" borderId="7" xfId="4" applyFont="1" applyFill="1" applyBorder="1" applyAlignment="1">
      <alignment horizontal="left" vertical="center" wrapText="1"/>
    </xf>
    <xf numFmtId="166" fontId="18" fillId="5" borderId="7" xfId="2" applyNumberFormat="1" applyFont="1" applyFill="1" applyBorder="1" applyAlignment="1">
      <alignment horizontal="right" vertical="center" wrapText="1"/>
    </xf>
    <xf numFmtId="166" fontId="21" fillId="5" borderId="7" xfId="5" applyNumberFormat="1" applyFont="1" applyFill="1" applyBorder="1" applyAlignment="1">
      <alignment horizontal="right" vertical="center" wrapText="1"/>
    </xf>
    <xf numFmtId="10" fontId="21" fillId="5" borderId="7" xfId="2" applyNumberFormat="1" applyFont="1" applyFill="1" applyBorder="1" applyAlignment="1">
      <alignment horizontal="right" vertical="center" wrapText="1"/>
    </xf>
    <xf numFmtId="166" fontId="21" fillId="5" borderId="7" xfId="2" applyNumberFormat="1" applyFont="1" applyFill="1" applyBorder="1" applyAlignment="1">
      <alignment horizontal="right" vertical="center" wrapText="1"/>
    </xf>
    <xf numFmtId="166" fontId="21" fillId="5" borderId="7" xfId="4" applyNumberFormat="1" applyFont="1" applyFill="1" applyBorder="1" applyAlignment="1">
      <alignment horizontal="right" vertical="center" wrapText="1"/>
    </xf>
    <xf numFmtId="10" fontId="18" fillId="5" borderId="7" xfId="5" applyNumberFormat="1" applyFont="1" applyFill="1" applyBorder="1" applyAlignment="1">
      <alignment horizontal="right" vertical="center" wrapText="1"/>
    </xf>
    <xf numFmtId="166" fontId="18" fillId="5" borderId="7" xfId="4" applyNumberFormat="1" applyFont="1" applyFill="1" applyBorder="1" applyAlignment="1">
      <alignment horizontal="right" vertical="center" wrapText="1"/>
    </xf>
    <xf numFmtId="10" fontId="21" fillId="0" borderId="16" xfId="0" applyNumberFormat="1" applyFont="1" applyBorder="1" applyAlignment="1">
      <alignment horizontal="right" vertical="center"/>
    </xf>
    <xf numFmtId="10" fontId="21" fillId="0" borderId="20" xfId="0" applyNumberFormat="1" applyFont="1" applyBorder="1" applyAlignment="1">
      <alignment horizontal="right" vertical="center"/>
    </xf>
    <xf numFmtId="9" fontId="21" fillId="0" borderId="21" xfId="2" applyFont="1" applyFill="1" applyBorder="1" applyAlignment="1" applyProtection="1">
      <alignment vertical="center" wrapText="1"/>
      <protection locked="0"/>
    </xf>
    <xf numFmtId="43" fontId="21" fillId="0" borderId="21" xfId="4" applyFont="1" applyFill="1" applyBorder="1" applyAlignment="1" applyProtection="1">
      <alignment vertical="center" wrapText="1"/>
      <protection locked="0"/>
    </xf>
    <xf numFmtId="0" fontId="19" fillId="0" borderId="16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166" fontId="21" fillId="0" borderId="16" xfId="3" applyNumberFormat="1" applyFont="1" applyBorder="1" applyAlignment="1">
      <alignment horizontal="right" vertical="center"/>
    </xf>
    <xf numFmtId="166" fontId="21" fillId="0" borderId="20" xfId="3" applyNumberFormat="1" applyFont="1" applyBorder="1" applyAlignment="1">
      <alignment horizontal="right" vertical="center"/>
    </xf>
    <xf numFmtId="166" fontId="3" fillId="0" borderId="21" xfId="4" applyNumberFormat="1" applyFont="1" applyFill="1" applyBorder="1" applyAlignment="1" applyProtection="1">
      <alignment vertical="center" wrapText="1"/>
      <protection locked="0"/>
    </xf>
    <xf numFmtId="9" fontId="3" fillId="0" borderId="21" xfId="2" applyFont="1" applyFill="1" applyBorder="1" applyAlignment="1" applyProtection="1">
      <alignment vertical="center" wrapText="1"/>
      <protection locked="0"/>
    </xf>
    <xf numFmtId="10" fontId="21" fillId="0" borderId="21" xfId="0" applyNumberFormat="1" applyFont="1" applyBorder="1" applyAlignment="1">
      <alignment horizontal="right" vertical="center"/>
    </xf>
    <xf numFmtId="10" fontId="21" fillId="2" borderId="21" xfId="0" applyNumberFormat="1" applyFont="1" applyFill="1" applyBorder="1" applyAlignment="1">
      <alignment horizontal="right" vertical="center"/>
    </xf>
    <xf numFmtId="0" fontId="18" fillId="6" borderId="4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vertical="center"/>
    </xf>
    <xf numFmtId="0" fontId="3" fillId="0" borderId="0" xfId="0" applyFont="1" applyAlignment="1">
      <alignment wrapText="1"/>
    </xf>
    <xf numFmtId="44" fontId="3" fillId="0" borderId="0" xfId="0" applyNumberFormat="1" applyFont="1" applyAlignment="1">
      <alignment wrapText="1"/>
    </xf>
    <xf numFmtId="0" fontId="13" fillId="0" borderId="0" xfId="0" applyFont="1" applyAlignment="1">
      <alignment wrapText="1"/>
    </xf>
    <xf numFmtId="0" fontId="13" fillId="2" borderId="0" xfId="0" applyFont="1" applyFill="1"/>
    <xf numFmtId="173" fontId="13" fillId="0" borderId="0" xfId="0" applyNumberFormat="1" applyFont="1"/>
    <xf numFmtId="44" fontId="13" fillId="0" borderId="0" xfId="1" applyFont="1"/>
    <xf numFmtId="0" fontId="13" fillId="2" borderId="0" xfId="0" applyFont="1" applyFill="1" applyAlignment="1">
      <alignment vertical="center"/>
    </xf>
    <xf numFmtId="44" fontId="6" fillId="5" borderId="7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44" fontId="11" fillId="6" borderId="7" xfId="1" applyFont="1" applyFill="1" applyBorder="1"/>
    <xf numFmtId="10" fontId="13" fillId="0" borderId="0" xfId="2" applyNumberFormat="1" applyFont="1"/>
    <xf numFmtId="1" fontId="1" fillId="0" borderId="0" xfId="1" applyNumberFormat="1" applyFont="1"/>
    <xf numFmtId="0" fontId="18" fillId="6" borderId="0" xfId="0" applyFont="1" applyFill="1" applyAlignment="1">
      <alignment horizontal="right" vertical="center" wrapText="1"/>
    </xf>
    <xf numFmtId="44" fontId="18" fillId="6" borderId="0" xfId="1" applyFont="1" applyFill="1" applyBorder="1" applyAlignment="1">
      <alignment horizontal="right" vertical="center" wrapText="1"/>
    </xf>
    <xf numFmtId="0" fontId="10" fillId="0" borderId="0" xfId="8"/>
    <xf numFmtId="44" fontId="4" fillId="6" borderId="7" xfId="1" applyFont="1" applyFill="1" applyBorder="1"/>
    <xf numFmtId="0" fontId="1" fillId="0" borderId="0" xfId="0" applyFont="1" applyProtection="1">
      <protection locked="0"/>
    </xf>
    <xf numFmtId="0" fontId="1" fillId="2" borderId="0" xfId="0" applyFont="1" applyFill="1" applyProtection="1">
      <protection locked="0"/>
    </xf>
    <xf numFmtId="0" fontId="12" fillId="2" borderId="0" xfId="0" applyFont="1" applyFill="1" applyAlignment="1" applyProtection="1">
      <alignment horizontal="center" vertical="center" wrapText="1"/>
      <protection locked="0"/>
    </xf>
    <xf numFmtId="0" fontId="12" fillId="6" borderId="7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Protection="1">
      <protection locked="0"/>
    </xf>
    <xf numFmtId="170" fontId="3" fillId="2" borderId="7" xfId="7" applyNumberFormat="1" applyFont="1" applyFill="1" applyBorder="1" applyAlignment="1" applyProtection="1">
      <alignment horizontal="center"/>
      <protection locked="0"/>
    </xf>
    <xf numFmtId="43" fontId="3" fillId="2" borderId="7" xfId="7" applyFont="1" applyFill="1" applyBorder="1" applyProtection="1">
      <protection locked="0"/>
    </xf>
    <xf numFmtId="43" fontId="11" fillId="6" borderId="7" xfId="0" applyNumberFormat="1" applyFont="1" applyFill="1" applyBorder="1" applyProtection="1">
      <protection locked="0"/>
    </xf>
    <xf numFmtId="44" fontId="1" fillId="0" borderId="0" xfId="0" applyNumberFormat="1" applyFont="1" applyProtection="1">
      <protection locked="0"/>
    </xf>
    <xf numFmtId="0" fontId="7" fillId="2" borderId="0" xfId="0" applyFont="1" applyFill="1" applyProtection="1">
      <protection locked="0"/>
    </xf>
    <xf numFmtId="0" fontId="7" fillId="2" borderId="0" xfId="0" applyFont="1" applyFill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170" fontId="3" fillId="2" borderId="7" xfId="7" applyNumberFormat="1" applyFont="1" applyFill="1" applyBorder="1" applyAlignment="1" applyProtection="1">
      <alignment horizontal="center"/>
    </xf>
    <xf numFmtId="169" fontId="3" fillId="2" borderId="7" xfId="7" applyNumberFormat="1" applyFont="1" applyFill="1" applyBorder="1" applyAlignment="1" applyProtection="1">
      <alignment horizontal="center"/>
    </xf>
    <xf numFmtId="169" fontId="28" fillId="2" borderId="7" xfId="7" applyNumberFormat="1" applyFont="1" applyFill="1" applyBorder="1" applyAlignment="1" applyProtection="1">
      <alignment horizontal="center"/>
    </xf>
    <xf numFmtId="43" fontId="28" fillId="2" borderId="7" xfId="7" applyFont="1" applyFill="1" applyBorder="1" applyProtection="1">
      <protection locked="0"/>
    </xf>
    <xf numFmtId="0" fontId="11" fillId="6" borderId="8" xfId="0" applyFont="1" applyFill="1" applyBorder="1" applyAlignment="1" applyProtection="1">
      <alignment horizontal="left"/>
      <protection locked="0"/>
    </xf>
    <xf numFmtId="0" fontId="11" fillId="6" borderId="5" xfId="0" applyFont="1" applyFill="1" applyBorder="1" applyAlignment="1" applyProtection="1">
      <alignment horizontal="left"/>
      <protection locked="0"/>
    </xf>
    <xf numFmtId="0" fontId="11" fillId="6" borderId="6" xfId="0" applyFont="1" applyFill="1" applyBorder="1" applyAlignment="1" applyProtection="1">
      <alignment horizontal="left"/>
      <protection locked="0"/>
    </xf>
    <xf numFmtId="0" fontId="13" fillId="2" borderId="0" xfId="0" applyFont="1" applyFill="1" applyAlignment="1" applyProtection="1">
      <alignment horizontal="justify" vertical="center" wrapText="1"/>
      <protection locked="0"/>
    </xf>
    <xf numFmtId="0" fontId="16" fillId="2" borderId="0" xfId="0" applyFont="1" applyFill="1" applyAlignment="1" applyProtection="1">
      <alignment horizontal="center"/>
      <protection locked="0"/>
    </xf>
    <xf numFmtId="0" fontId="17" fillId="2" borderId="0" xfId="0" applyFont="1" applyFill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28" fillId="2" borderId="8" xfId="0" applyFont="1" applyFill="1" applyBorder="1" applyAlignment="1" applyProtection="1">
      <alignment horizontal="center"/>
      <protection locked="0"/>
    </xf>
    <xf numFmtId="0" fontId="28" fillId="2" borderId="6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3" fillId="2" borderId="14" xfId="0" applyFont="1" applyFill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11" fillId="6" borderId="8" xfId="0" applyFont="1" applyFill="1" applyBorder="1" applyAlignment="1">
      <alignment horizontal="left"/>
    </xf>
    <xf numFmtId="0" fontId="11" fillId="6" borderId="5" xfId="0" applyFont="1" applyFill="1" applyBorder="1" applyAlignment="1">
      <alignment horizontal="left"/>
    </xf>
    <xf numFmtId="0" fontId="11" fillId="6" borderId="6" xfId="0" applyFont="1" applyFill="1" applyBorder="1" applyAlignment="1">
      <alignment horizontal="left"/>
    </xf>
    <xf numFmtId="0" fontId="6" fillId="5" borderId="8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6" fillId="5" borderId="6" xfId="0" applyFont="1" applyFill="1" applyBorder="1" applyAlignment="1">
      <alignment horizontal="left" vertical="center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21" fillId="0" borderId="16" xfId="0" applyFont="1" applyBorder="1" applyAlignment="1">
      <alignment horizontal="left" vertical="center" wrapText="1"/>
    </xf>
    <xf numFmtId="8" fontId="21" fillId="0" borderId="16" xfId="1" applyNumberFormat="1" applyFont="1" applyFill="1" applyBorder="1" applyAlignment="1" applyProtection="1">
      <alignment horizontal="right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right" vertical="center" wrapText="1"/>
    </xf>
    <xf numFmtId="0" fontId="21" fillId="0" borderId="17" xfId="0" applyFont="1" applyBorder="1" applyAlignment="1">
      <alignment horizontal="right" vertical="center" wrapText="1"/>
    </xf>
    <xf numFmtId="0" fontId="21" fillId="0" borderId="19" xfId="0" applyFont="1" applyBorder="1" applyAlignment="1">
      <alignment horizontal="right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165" fontId="21" fillId="0" borderId="16" xfId="4" applyNumberFormat="1" applyFont="1" applyFill="1" applyBorder="1" applyAlignment="1" applyProtection="1">
      <alignment horizontal="right" vertical="center" wrapText="1"/>
    </xf>
    <xf numFmtId="0" fontId="21" fillId="0" borderId="21" xfId="0" applyFont="1" applyBorder="1" applyAlignment="1">
      <alignment horizontal="left" vertical="center" wrapText="1"/>
    </xf>
    <xf numFmtId="164" fontId="21" fillId="0" borderId="21" xfId="0" applyNumberFormat="1" applyFont="1" applyBorder="1" applyAlignment="1">
      <alignment horizontal="right" vertical="center" wrapText="1"/>
    </xf>
    <xf numFmtId="0" fontId="21" fillId="0" borderId="7" xfId="0" applyFont="1" applyBorder="1" applyAlignment="1">
      <alignment horizontal="left" vertical="center"/>
    </xf>
    <xf numFmtId="0" fontId="21" fillId="2" borderId="20" xfId="0" applyFont="1" applyFill="1" applyBorder="1" applyAlignment="1">
      <alignment horizontal="left" vertical="center" wrapText="1"/>
    </xf>
    <xf numFmtId="165" fontId="21" fillId="2" borderId="20" xfId="4" applyNumberFormat="1" applyFont="1" applyFill="1" applyBorder="1" applyAlignment="1" applyProtection="1">
      <alignment horizontal="right" vertical="center" wrapText="1"/>
      <protection locked="0"/>
    </xf>
    <xf numFmtId="165" fontId="21" fillId="0" borderId="20" xfId="4" applyNumberFormat="1" applyFont="1" applyFill="1" applyBorder="1" applyAlignment="1" applyProtection="1">
      <alignment horizontal="right" vertical="center" wrapText="1"/>
      <protection locked="0"/>
    </xf>
    <xf numFmtId="0" fontId="21" fillId="2" borderId="21" xfId="0" applyFont="1" applyFill="1" applyBorder="1" applyAlignment="1">
      <alignment horizontal="left" vertical="center" wrapText="1"/>
    </xf>
    <xf numFmtId="165" fontId="21" fillId="2" borderId="21" xfId="4" applyNumberFormat="1" applyFont="1" applyFill="1" applyBorder="1" applyAlignment="1" applyProtection="1">
      <alignment horizontal="right" vertical="center" wrapText="1"/>
      <protection locked="0"/>
    </xf>
    <xf numFmtId="0" fontId="18" fillId="5" borderId="8" xfId="0" applyFont="1" applyFill="1" applyBorder="1" applyAlignment="1">
      <alignment horizontal="right" vertical="center" wrapText="1"/>
    </xf>
    <xf numFmtId="0" fontId="18" fillId="5" borderId="5" xfId="0" applyFont="1" applyFill="1" applyBorder="1" applyAlignment="1">
      <alignment horizontal="right" vertical="center" wrapText="1"/>
    </xf>
    <xf numFmtId="0" fontId="18" fillId="5" borderId="6" xfId="0" applyFont="1" applyFill="1" applyBorder="1" applyAlignment="1">
      <alignment horizontal="right" vertical="center" wrapText="1"/>
    </xf>
    <xf numFmtId="43" fontId="18" fillId="5" borderId="8" xfId="4" applyFont="1" applyFill="1" applyBorder="1" applyAlignment="1">
      <alignment horizontal="right" vertical="center" wrapText="1"/>
    </xf>
    <xf numFmtId="43" fontId="18" fillId="5" borderId="6" xfId="4" applyFont="1" applyFill="1" applyBorder="1" applyAlignment="1">
      <alignment horizontal="right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horizontal="right" vertical="center" wrapText="1"/>
    </xf>
    <xf numFmtId="0" fontId="21" fillId="5" borderId="5" xfId="0" applyFont="1" applyFill="1" applyBorder="1" applyAlignment="1">
      <alignment horizontal="right" vertical="center" wrapText="1"/>
    </xf>
    <xf numFmtId="0" fontId="21" fillId="5" borderId="6" xfId="0" applyFont="1" applyFill="1" applyBorder="1" applyAlignment="1">
      <alignment horizontal="right" vertical="center" wrapText="1"/>
    </xf>
    <xf numFmtId="165" fontId="21" fillId="5" borderId="7" xfId="4" applyNumberFormat="1" applyFont="1" applyFill="1" applyBorder="1" applyAlignment="1" applyProtection="1">
      <alignment horizontal="righ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165" fontId="21" fillId="0" borderId="7" xfId="4" applyNumberFormat="1" applyFont="1" applyFill="1" applyBorder="1" applyAlignment="1" applyProtection="1">
      <alignment horizontal="right" vertical="center" wrapText="1"/>
    </xf>
    <xf numFmtId="165" fontId="21" fillId="0" borderId="20" xfId="4" applyNumberFormat="1" applyFont="1" applyFill="1" applyBorder="1" applyAlignment="1" applyProtection="1">
      <alignment horizontal="right" vertical="center" wrapText="1"/>
    </xf>
    <xf numFmtId="165" fontId="21" fillId="2" borderId="20" xfId="4" applyNumberFormat="1" applyFont="1" applyFill="1" applyBorder="1" applyAlignment="1" applyProtection="1">
      <alignment horizontal="right" vertical="center" wrapText="1"/>
    </xf>
    <xf numFmtId="165" fontId="21" fillId="2" borderId="21" xfId="4" applyNumberFormat="1" applyFont="1" applyFill="1" applyBorder="1" applyAlignment="1" applyProtection="1">
      <alignment horizontal="right" vertical="center" wrapText="1"/>
    </xf>
    <xf numFmtId="43" fontId="18" fillId="5" borderId="7" xfId="4" applyFont="1" applyFill="1" applyBorder="1" applyAlignment="1">
      <alignment horizontal="right" vertical="center" wrapText="1"/>
    </xf>
    <xf numFmtId="0" fontId="21" fillId="5" borderId="5" xfId="0" applyFont="1" applyFill="1" applyBorder="1" applyAlignment="1">
      <alignment horizontal="center" vertical="center" wrapText="1"/>
    </xf>
    <xf numFmtId="0" fontId="21" fillId="5" borderId="6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left" vertical="center" wrapText="1"/>
    </xf>
    <xf numFmtId="43" fontId="21" fillId="2" borderId="16" xfId="0" applyNumberFormat="1" applyFont="1" applyFill="1" applyBorder="1" applyAlignment="1">
      <alignment horizontal="right" vertical="center" wrapText="1"/>
    </xf>
    <xf numFmtId="0" fontId="21" fillId="0" borderId="21" xfId="0" applyFont="1" applyBorder="1" applyAlignment="1">
      <alignment horizontal="left" vertical="center"/>
    </xf>
    <xf numFmtId="43" fontId="21" fillId="0" borderId="21" xfId="0" applyNumberFormat="1" applyFont="1" applyBorder="1" applyAlignment="1">
      <alignment horizontal="right" vertical="center" wrapText="1"/>
    </xf>
    <xf numFmtId="0" fontId="21" fillId="2" borderId="20" xfId="0" applyFont="1" applyFill="1" applyBorder="1" applyAlignment="1">
      <alignment horizontal="left" vertical="center"/>
    </xf>
    <xf numFmtId="0" fontId="21" fillId="2" borderId="21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vertical="center"/>
    </xf>
    <xf numFmtId="0" fontId="21" fillId="2" borderId="21" xfId="0" applyFont="1" applyFill="1" applyBorder="1" applyAlignment="1">
      <alignment vertical="center"/>
    </xf>
    <xf numFmtId="0" fontId="21" fillId="0" borderId="8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16" xfId="0" applyFont="1" applyBorder="1" applyAlignment="1">
      <alignment vertical="center" wrapText="1"/>
    </xf>
    <xf numFmtId="0" fontId="21" fillId="2" borderId="21" xfId="0" applyFont="1" applyFill="1" applyBorder="1" applyAlignment="1">
      <alignment vertical="center" wrapText="1"/>
    </xf>
    <xf numFmtId="0" fontId="21" fillId="0" borderId="20" xfId="0" applyFont="1" applyBorder="1" applyAlignment="1">
      <alignment vertical="center" wrapText="1"/>
    </xf>
    <xf numFmtId="0" fontId="21" fillId="0" borderId="21" xfId="0" applyFont="1" applyBorder="1" applyAlignment="1">
      <alignment vertical="center" wrapText="1"/>
    </xf>
    <xf numFmtId="0" fontId="21" fillId="0" borderId="16" xfId="0" applyFont="1" applyBorder="1" applyAlignment="1">
      <alignment vertical="center"/>
    </xf>
    <xf numFmtId="0" fontId="21" fillId="0" borderId="20" xfId="0" applyFont="1" applyBorder="1" applyAlignment="1">
      <alignment horizontal="left" vertical="center"/>
    </xf>
    <xf numFmtId="0" fontId="18" fillId="6" borderId="1" xfId="0" applyFont="1" applyFill="1" applyBorder="1" applyAlignment="1">
      <alignment horizontal="center" vertical="center" wrapText="1"/>
    </xf>
    <xf numFmtId="0" fontId="18" fillId="6" borderId="2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21" fillId="0" borderId="16" xfId="0" applyFont="1" applyBorder="1" applyAlignment="1">
      <alignment horizontal="left" vertical="center"/>
    </xf>
    <xf numFmtId="44" fontId="21" fillId="0" borderId="16" xfId="6" applyFont="1" applyBorder="1" applyAlignment="1">
      <alignment horizontal="center" vertical="center"/>
    </xf>
    <xf numFmtId="0" fontId="22" fillId="6" borderId="4" xfId="0" applyFont="1" applyFill="1" applyBorder="1" applyAlignment="1">
      <alignment horizontal="center" vertical="center"/>
    </xf>
    <xf numFmtId="44" fontId="21" fillId="0" borderId="21" xfId="6" applyFont="1" applyBorder="1" applyAlignment="1">
      <alignment horizontal="center" vertical="center"/>
    </xf>
    <xf numFmtId="0" fontId="18" fillId="6" borderId="8" xfId="0" applyFont="1" applyFill="1" applyBorder="1" applyAlignment="1">
      <alignment horizontal="right" vertical="center" wrapText="1"/>
    </xf>
    <xf numFmtId="0" fontId="18" fillId="6" borderId="5" xfId="0" applyFont="1" applyFill="1" applyBorder="1" applyAlignment="1">
      <alignment horizontal="right" vertical="center" wrapText="1"/>
    </xf>
    <xf numFmtId="0" fontId="18" fillId="6" borderId="6" xfId="0" applyFont="1" applyFill="1" applyBorder="1" applyAlignment="1">
      <alignment horizontal="right" vertical="center" wrapText="1"/>
    </xf>
    <xf numFmtId="44" fontId="18" fillId="6" borderId="8" xfId="1" applyFont="1" applyFill="1" applyBorder="1" applyAlignment="1">
      <alignment vertical="center" wrapText="1"/>
    </xf>
    <xf numFmtId="44" fontId="18" fillId="6" borderId="5" xfId="1" applyFont="1" applyFill="1" applyBorder="1" applyAlignment="1">
      <alignment vertical="center" wrapText="1"/>
    </xf>
    <xf numFmtId="44" fontId="18" fillId="6" borderId="6" xfId="1" applyFont="1" applyFill="1" applyBorder="1" applyAlignment="1">
      <alignment vertical="center" wrapText="1"/>
    </xf>
    <xf numFmtId="44" fontId="18" fillId="6" borderId="7" xfId="1" applyFont="1" applyFill="1" applyBorder="1" applyAlignment="1">
      <alignment horizontal="right" vertical="center" wrapText="1"/>
    </xf>
    <xf numFmtId="44" fontId="21" fillId="0" borderId="8" xfId="6" applyFont="1" applyBorder="1" applyAlignment="1">
      <alignment horizontal="center" vertical="center"/>
    </xf>
    <xf numFmtId="44" fontId="21" fillId="0" borderId="6" xfId="6" applyFont="1" applyBorder="1" applyAlignment="1">
      <alignment horizontal="center" vertical="center"/>
    </xf>
    <xf numFmtId="44" fontId="21" fillId="0" borderId="20" xfId="6" applyFont="1" applyBorder="1" applyAlignment="1">
      <alignment horizontal="center" vertical="center"/>
    </xf>
    <xf numFmtId="44" fontId="21" fillId="0" borderId="21" xfId="6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170" fontId="28" fillId="2" borderId="7" xfId="7" applyNumberFormat="1" applyFont="1" applyFill="1" applyBorder="1" applyAlignment="1" applyProtection="1">
      <alignment horizontal="center"/>
    </xf>
  </cellXfs>
  <cellStyles count="9">
    <cellStyle name="Moeda" xfId="1" builtinId="4"/>
    <cellStyle name="Moeda 2" xfId="6" xr:uid="{00000000-0005-0000-0000-000001000000}"/>
    <cellStyle name="Normal" xfId="0" builtinId="0"/>
    <cellStyle name="Normal 2" xfId="8" xr:uid="{00000000-0005-0000-0000-000003000000}"/>
    <cellStyle name="Porcentagem" xfId="2" builtinId="5"/>
    <cellStyle name="Porcentagem 2" xfId="5" xr:uid="{00000000-0005-0000-0000-000005000000}"/>
    <cellStyle name="Vírgula" xfId="7" builtinId="3"/>
    <cellStyle name="Vírgula 2" xfId="4" xr:uid="{00000000-0005-0000-0000-000007000000}"/>
    <cellStyle name="Vírgula 2 2" xfId="3" xr:uid="{00000000-0005-0000-0000-000008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466725</xdr:colOff>
      <xdr:row>54</xdr:row>
      <xdr:rowOff>38100</xdr:rowOff>
    </xdr:to>
    <xdr:sp macro="" textlink="">
      <xdr:nvSpPr>
        <xdr:cNvPr id="2" name="Caixa de 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5953125" cy="8782050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000000"/>
          </a:outerShdw>
        </a:effec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rebuchet MS" pitchFamily="34" charset="0"/>
            <a:cs typeface="Times New Roman"/>
          </a:endParaRPr>
        </a:p>
        <a:p>
          <a:pPr algn="l" rtl="0">
            <a:defRPr sz="1000"/>
          </a:pPr>
          <a:endParaRPr lang="pt-BR" sz="1100" b="0" i="0" u="none" strike="noStrike" baseline="0">
            <a:solidFill>
              <a:srgbClr val="000000"/>
            </a:solidFill>
            <a:latin typeface="Trebuchet MS" pitchFamily="34" charset="0"/>
            <a:cs typeface="Times New Roman"/>
          </a:endParaRPr>
        </a:p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Trebuchet MS" pitchFamily="34" charset="0"/>
              <a:cs typeface="Arial"/>
            </a:rPr>
            <a:t>ANEXO III</a:t>
          </a:r>
          <a:endParaRPr lang="pt-BR" sz="2000" b="1" i="0" u="none" strike="noStrike" baseline="0">
            <a:solidFill>
              <a:srgbClr val="000000"/>
            </a:solidFill>
            <a:latin typeface="Trebuchet MS" pitchFamily="34" charset="0"/>
          </a:endParaRPr>
        </a:p>
        <a:p>
          <a:pPr algn="ctr" rtl="0">
            <a:defRPr sz="1000"/>
          </a:pPr>
          <a:endParaRPr lang="pt-BR" sz="1100" b="1" i="0" u="none" strike="noStrike" baseline="0">
            <a:solidFill>
              <a:srgbClr val="000000"/>
            </a:solidFill>
            <a:latin typeface="Trebuchet MS" pitchFamily="34" charset="0"/>
          </a:endParaRPr>
        </a:p>
        <a:p>
          <a:pPr algn="ctr" rtl="0">
            <a:defRPr sz="1000"/>
          </a:pPr>
          <a:r>
            <a:rPr lang="pt-BR" sz="1400" b="1" i="0" u="none" strike="noStrike" baseline="0">
              <a:solidFill>
                <a:srgbClr val="000000"/>
              </a:solidFill>
              <a:latin typeface="Trebuchet MS" pitchFamily="34" charset="0"/>
              <a:cs typeface="Arial"/>
            </a:rPr>
            <a:t>PLANILHA DE PREÇOS</a:t>
          </a:r>
        </a:p>
        <a:p>
          <a:pPr algn="ctr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Trebuchet MS" pitchFamily="34" charset="0"/>
            <a:cs typeface="Arial"/>
          </a:endParaRPr>
        </a:p>
        <a:p>
          <a:pPr algn="ctr" rtl="0">
            <a:defRPr sz="1000"/>
          </a:pPr>
          <a:r>
            <a:rPr lang="pt-BR" sz="1400" b="1" i="0" u="none" strike="noStrike" baseline="0">
              <a:solidFill>
                <a:srgbClr val="3333FF"/>
              </a:solidFill>
              <a:latin typeface="Trebuchet MS" pitchFamily="34" charset="0"/>
              <a:cs typeface="Arial"/>
            </a:rPr>
            <a:t>ADITAMENTO 3</a:t>
          </a:r>
        </a:p>
        <a:p>
          <a:pPr algn="l" rtl="0">
            <a:defRPr sz="1000"/>
          </a:pPr>
          <a:endParaRPr lang="pt-BR" sz="1400" b="1" i="0" u="none" strike="noStrike" baseline="0">
            <a:solidFill>
              <a:srgbClr val="000000"/>
            </a:solidFill>
            <a:latin typeface="Trebuchet MS" pitchFamily="34" charset="0"/>
            <a:cs typeface="Arial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"/>
  <sheetViews>
    <sheetView workbookViewId="0">
      <selection activeCell="O55" sqref="O55"/>
    </sheetView>
  </sheetViews>
  <sheetFormatPr defaultColWidth="9.140625" defaultRowHeight="12.75" x14ac:dyDescent="0.2"/>
  <cols>
    <col min="1" max="16384" width="9.140625" style="107"/>
  </cols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3"/>
  <dimension ref="A1:Q16"/>
  <sheetViews>
    <sheetView tabSelected="1" view="pageBreakPreview" zoomScaleNormal="100" zoomScaleSheetLayoutView="100" workbookViewId="0">
      <selection activeCell="D5" sqref="D5"/>
    </sheetView>
  </sheetViews>
  <sheetFormatPr defaultColWidth="9.140625" defaultRowHeight="16.5" x14ac:dyDescent="0.3"/>
  <cols>
    <col min="1" max="1" width="3.42578125" style="109" customWidth="1"/>
    <col min="2" max="2" width="12" style="124" customWidth="1"/>
    <col min="3" max="3" width="46.28515625" style="124" customWidth="1"/>
    <col min="4" max="5" width="15.28515625" style="109" customWidth="1"/>
    <col min="6" max="6" width="18.140625" style="109" customWidth="1"/>
    <col min="7" max="7" width="4.7109375" style="109" customWidth="1"/>
    <col min="8" max="9" width="5.85546875" style="109" customWidth="1"/>
    <col min="10" max="10" width="4.42578125" style="109" bestFit="1" customWidth="1"/>
    <col min="11" max="12" width="16.140625" style="109" bestFit="1" customWidth="1"/>
    <col min="13" max="13" width="12.42578125" style="109" bestFit="1" customWidth="1"/>
    <col min="14" max="14" width="22.28515625" style="109" bestFit="1" customWidth="1"/>
    <col min="15" max="15" width="21.140625" style="109" bestFit="1" customWidth="1"/>
    <col min="16" max="16" width="9.140625" style="109"/>
    <col min="17" max="17" width="16.85546875" style="109" bestFit="1" customWidth="1"/>
    <col min="18" max="16384" width="9.140625" style="109"/>
  </cols>
  <sheetData>
    <row r="1" spans="1:17" ht="18.75" x14ac:dyDescent="0.3">
      <c r="A1" s="133" t="s">
        <v>0</v>
      </c>
      <c r="B1" s="133"/>
      <c r="C1" s="133"/>
      <c r="D1" s="133"/>
      <c r="E1" s="133"/>
      <c r="F1" s="133"/>
      <c r="G1" s="133"/>
    </row>
    <row r="2" spans="1:17" ht="18" x14ac:dyDescent="0.35">
      <c r="A2" s="134" t="s">
        <v>1</v>
      </c>
      <c r="B2" s="134"/>
      <c r="C2" s="134"/>
      <c r="D2" s="134"/>
      <c r="E2" s="134"/>
      <c r="F2" s="134"/>
      <c r="G2" s="134"/>
    </row>
    <row r="3" spans="1:17" x14ac:dyDescent="0.3">
      <c r="A3" s="110"/>
      <c r="B3" s="110"/>
      <c r="C3" s="110"/>
      <c r="D3" s="110"/>
      <c r="E3" s="110"/>
      <c r="F3" s="110"/>
      <c r="G3" s="110"/>
    </row>
    <row r="4" spans="1:17" s="113" customFormat="1" ht="30" x14ac:dyDescent="0.25">
      <c r="A4" s="111"/>
      <c r="B4" s="112" t="s">
        <v>2</v>
      </c>
      <c r="C4" s="112" t="s">
        <v>3</v>
      </c>
      <c r="D4" s="112" t="s">
        <v>4</v>
      </c>
      <c r="E4" s="112" t="s">
        <v>5</v>
      </c>
      <c r="F4" s="112" t="s">
        <v>6</v>
      </c>
      <c r="G4" s="111"/>
    </row>
    <row r="5" spans="1:17" x14ac:dyDescent="0.3">
      <c r="A5" s="110"/>
      <c r="B5" s="114" t="s">
        <v>7</v>
      </c>
      <c r="C5" s="115" t="s">
        <v>8</v>
      </c>
      <c r="D5" s="125">
        <f>ROUND('2. Planilha Auxiliar Resumo'!G25,2)</f>
        <v>0</v>
      </c>
      <c r="E5" s="126">
        <v>12</v>
      </c>
      <c r="F5" s="117">
        <f>ROUND(D5*E5,2)</f>
        <v>0</v>
      </c>
      <c r="G5" s="110"/>
    </row>
    <row r="6" spans="1:17" x14ac:dyDescent="0.3">
      <c r="A6" s="110"/>
      <c r="B6" s="135" t="s">
        <v>9</v>
      </c>
      <c r="C6" s="115" t="s">
        <v>10</v>
      </c>
      <c r="D6" s="116"/>
      <c r="E6" s="126">
        <v>1</v>
      </c>
      <c r="F6" s="117">
        <f>ROUND(D6*E6,2)</f>
        <v>0</v>
      </c>
      <c r="G6" s="110"/>
    </row>
    <row r="7" spans="1:17" x14ac:dyDescent="0.3">
      <c r="A7" s="110"/>
      <c r="B7" s="135"/>
      <c r="C7" s="115" t="s">
        <v>11</v>
      </c>
      <c r="D7" s="116"/>
      <c r="E7" s="126">
        <v>1</v>
      </c>
      <c r="F7" s="117">
        <f>ROUND(D7*E7,2)</f>
        <v>0</v>
      </c>
      <c r="G7" s="110"/>
    </row>
    <row r="8" spans="1:17" x14ac:dyDescent="0.3">
      <c r="A8" s="110"/>
      <c r="B8" s="135"/>
      <c r="C8" s="115" t="s">
        <v>12</v>
      </c>
      <c r="D8" s="116"/>
      <c r="E8" s="126">
        <v>1</v>
      </c>
      <c r="F8" s="117">
        <f t="shared" ref="F8:F11" si="0">ROUND(D8*E8,2)</f>
        <v>0</v>
      </c>
      <c r="G8" s="110"/>
    </row>
    <row r="9" spans="1:17" x14ac:dyDescent="0.3">
      <c r="A9" s="110"/>
      <c r="B9" s="135"/>
      <c r="C9" s="115" t="s">
        <v>13</v>
      </c>
      <c r="D9" s="116"/>
      <c r="E9" s="126">
        <v>1</v>
      </c>
      <c r="F9" s="117">
        <f t="shared" si="0"/>
        <v>0</v>
      </c>
      <c r="G9" s="110"/>
    </row>
    <row r="10" spans="1:17" x14ac:dyDescent="0.3">
      <c r="A10" s="110"/>
      <c r="B10" s="135"/>
      <c r="C10" s="115" t="s">
        <v>14</v>
      </c>
      <c r="D10" s="116"/>
      <c r="E10" s="126">
        <v>2</v>
      </c>
      <c r="F10" s="117">
        <f t="shared" si="0"/>
        <v>0</v>
      </c>
      <c r="G10" s="110"/>
    </row>
    <row r="11" spans="1:17" x14ac:dyDescent="0.3">
      <c r="A11" s="110"/>
      <c r="B11" s="135"/>
      <c r="C11" s="115" t="s">
        <v>15</v>
      </c>
      <c r="D11" s="116"/>
      <c r="E11" s="126">
        <v>1</v>
      </c>
      <c r="F11" s="117">
        <f t="shared" si="0"/>
        <v>0</v>
      </c>
      <c r="G11" s="110"/>
    </row>
    <row r="12" spans="1:17" x14ac:dyDescent="0.3">
      <c r="A12" s="110"/>
      <c r="B12" s="136" t="s">
        <v>218</v>
      </c>
      <c r="C12" s="137"/>
      <c r="D12" s="238">
        <v>88500</v>
      </c>
      <c r="E12" s="127">
        <v>1</v>
      </c>
      <c r="F12" s="128">
        <f>ROUND(D12*E12,2)</f>
        <v>88500</v>
      </c>
      <c r="G12" s="110"/>
    </row>
    <row r="13" spans="1:17" x14ac:dyDescent="0.3">
      <c r="A13" s="110"/>
      <c r="B13" s="129" t="s">
        <v>16</v>
      </c>
      <c r="C13" s="130"/>
      <c r="D13" s="130"/>
      <c r="E13" s="131"/>
      <c r="F13" s="118">
        <f>SUM(F5:F12)</f>
        <v>88500</v>
      </c>
      <c r="G13" s="110"/>
      <c r="Q13" s="119"/>
    </row>
    <row r="14" spans="1:17" x14ac:dyDescent="0.3">
      <c r="A14" s="110"/>
      <c r="B14" s="120"/>
      <c r="C14" s="121"/>
      <c r="D14" s="110"/>
      <c r="E14" s="110"/>
      <c r="F14" s="110"/>
      <c r="G14" s="110"/>
    </row>
    <row r="15" spans="1:17" x14ac:dyDescent="0.3">
      <c r="A15" s="110"/>
      <c r="B15" s="122" t="s">
        <v>17</v>
      </c>
      <c r="C15" s="123"/>
      <c r="D15" s="110"/>
      <c r="E15" s="110"/>
      <c r="F15" s="110"/>
      <c r="G15" s="110"/>
    </row>
    <row r="16" spans="1:17" ht="300" customHeight="1" x14ac:dyDescent="0.3">
      <c r="A16" s="110"/>
      <c r="B16" s="132" t="s">
        <v>219</v>
      </c>
      <c r="C16" s="132"/>
      <c r="D16" s="132"/>
      <c r="E16" s="132"/>
      <c r="F16" s="132"/>
      <c r="G16" s="110"/>
    </row>
  </sheetData>
  <sheetProtection algorithmName="SHA-512" hashValue="+6/6DYL5FQgGu3xwp7oMDGj29B7DOHkeZ8Vyfn8jzQv/N1Qg9jXa5Cb9YGVsOmsStFueokixCXgwgjEQk0JgeA==" saltValue="xliEjndhoteuCl4HjSruVQ==" spinCount="100000" sheet="1"/>
  <mergeCells count="6">
    <mergeCell ref="B13:E13"/>
    <mergeCell ref="B16:F16"/>
    <mergeCell ref="A1:G1"/>
    <mergeCell ref="A2:G2"/>
    <mergeCell ref="B6:B11"/>
    <mergeCell ref="B12:C12"/>
  </mergeCells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/>
  <dimension ref="A1:L26"/>
  <sheetViews>
    <sheetView view="pageBreakPreview" zoomScaleNormal="100" zoomScaleSheetLayoutView="100" workbookViewId="0">
      <selection activeCell="G25" sqref="G25"/>
    </sheetView>
  </sheetViews>
  <sheetFormatPr defaultColWidth="9.140625" defaultRowHeight="16.5" x14ac:dyDescent="0.3"/>
  <cols>
    <col min="1" max="1" width="1.28515625" style="2" customWidth="1"/>
    <col min="2" max="2" width="2.140625" style="2" customWidth="1"/>
    <col min="3" max="3" width="6.140625" style="2" customWidth="1"/>
    <col min="4" max="5" width="9.140625" style="2"/>
    <col min="6" max="6" width="27.42578125" style="2" customWidth="1"/>
    <col min="7" max="7" width="22.140625" style="2" customWidth="1"/>
    <col min="8" max="8" width="9.140625" style="1"/>
    <col min="9" max="9" width="18.7109375" style="1" customWidth="1"/>
    <col min="10" max="10" width="10.140625" style="1" bestFit="1" customWidth="1"/>
    <col min="11" max="11" width="14.5703125" style="1" bestFit="1" customWidth="1"/>
    <col min="12" max="16384" width="9.140625" style="1"/>
  </cols>
  <sheetData>
    <row r="1" spans="1:10" ht="18.75" x14ac:dyDescent="0.3">
      <c r="A1" s="140" t="s">
        <v>18</v>
      </c>
      <c r="B1" s="140"/>
      <c r="C1" s="140"/>
      <c r="D1" s="140"/>
      <c r="E1" s="140"/>
      <c r="F1" s="140"/>
      <c r="G1" s="140"/>
    </row>
    <row r="2" spans="1:10" ht="18" x14ac:dyDescent="0.35">
      <c r="A2" s="141" t="s">
        <v>19</v>
      </c>
      <c r="B2" s="141"/>
      <c r="C2" s="141"/>
      <c r="D2" s="141"/>
      <c r="E2" s="141"/>
      <c r="F2" s="141"/>
      <c r="G2" s="141"/>
    </row>
    <row r="4" spans="1:10" ht="17.25" x14ac:dyDescent="0.35">
      <c r="B4" s="144" t="s">
        <v>20</v>
      </c>
      <c r="C4" s="145"/>
      <c r="D4" s="145"/>
      <c r="E4" s="145"/>
      <c r="F4" s="146"/>
      <c r="G4" s="26" t="s">
        <v>21</v>
      </c>
    </row>
    <row r="5" spans="1:10" x14ac:dyDescent="0.3">
      <c r="B5" s="22">
        <v>1</v>
      </c>
      <c r="C5" s="142" t="s">
        <v>22</v>
      </c>
      <c r="D5" s="142"/>
      <c r="E5" s="142"/>
      <c r="F5" s="143"/>
      <c r="G5" s="23">
        <f>ROUND('3. Planilha Auxiliar Pessoal'!H132,2)</f>
        <v>0</v>
      </c>
    </row>
    <row r="6" spans="1:10" x14ac:dyDescent="0.3">
      <c r="B6" s="24">
        <v>2</v>
      </c>
      <c r="C6" s="138" t="s">
        <v>23</v>
      </c>
      <c r="D6" s="138"/>
      <c r="E6" s="138"/>
      <c r="F6" s="139"/>
      <c r="G6" s="25">
        <f>ROUND('4. Memória Cálculo Fixos'!C9,2)</f>
        <v>0</v>
      </c>
    </row>
    <row r="7" spans="1:10" x14ac:dyDescent="0.3">
      <c r="B7" s="24">
        <v>3</v>
      </c>
      <c r="C7" s="138" t="s">
        <v>24</v>
      </c>
      <c r="D7" s="138"/>
      <c r="E7" s="138"/>
      <c r="F7" s="139"/>
      <c r="G7" s="25">
        <f>ROUND('4. Memória Cálculo Fixos'!C35,2)</f>
        <v>0</v>
      </c>
      <c r="H7" s="7"/>
    </row>
    <row r="8" spans="1:10" hidden="1" x14ac:dyDescent="0.3">
      <c r="B8" s="24">
        <v>4</v>
      </c>
      <c r="C8" s="138" t="s">
        <v>25</v>
      </c>
      <c r="D8" s="138"/>
      <c r="E8" s="138"/>
      <c r="F8" s="139"/>
      <c r="G8" s="25">
        <f>ROUND('4. Memória Cálculo Fixos'!C27,2)</f>
        <v>0</v>
      </c>
      <c r="H8" s="7"/>
    </row>
    <row r="9" spans="1:10" x14ac:dyDescent="0.3">
      <c r="B9" s="24">
        <v>4</v>
      </c>
      <c r="C9" s="138" t="s">
        <v>26</v>
      </c>
      <c r="D9" s="138"/>
      <c r="E9" s="138"/>
      <c r="F9" s="139"/>
      <c r="G9" s="25">
        <f>ROUND('4. Memória Cálculo Fixos'!C44,2)</f>
        <v>0</v>
      </c>
    </row>
    <row r="10" spans="1:10" x14ac:dyDescent="0.3">
      <c r="B10" s="24">
        <v>5</v>
      </c>
      <c r="C10" s="138" t="s">
        <v>27</v>
      </c>
      <c r="D10" s="138"/>
      <c r="E10" s="138"/>
      <c r="F10" s="139"/>
      <c r="G10" s="25">
        <f>ROUND('4. Memória Cálculo Fixos'!C51,2)</f>
        <v>0</v>
      </c>
    </row>
    <row r="11" spans="1:10" x14ac:dyDescent="0.3">
      <c r="B11" s="24">
        <v>6</v>
      </c>
      <c r="C11" s="138" t="s">
        <v>28</v>
      </c>
      <c r="D11" s="138"/>
      <c r="E11" s="138"/>
      <c r="F11" s="139"/>
      <c r="G11" s="25">
        <f>ROUND('4. Memória Cálculo Fixos'!C60,2)</f>
        <v>0</v>
      </c>
    </row>
    <row r="12" spans="1:10" s="101" customFormat="1" ht="16.5" customHeight="1" x14ac:dyDescent="0.25">
      <c r="A12" s="99"/>
      <c r="B12" s="147" t="s">
        <v>29</v>
      </c>
      <c r="C12" s="148"/>
      <c r="D12" s="148"/>
      <c r="E12" s="148"/>
      <c r="F12" s="149"/>
      <c r="G12" s="100">
        <f>SUM(G5:G11)</f>
        <v>0</v>
      </c>
    </row>
    <row r="13" spans="1:10" x14ac:dyDescent="0.3">
      <c r="B13" s="144" t="s">
        <v>30</v>
      </c>
      <c r="C13" s="145"/>
      <c r="D13" s="145"/>
      <c r="E13" s="145"/>
      <c r="F13" s="146"/>
      <c r="G13" s="102">
        <f>ROUND(G12/12,2)</f>
        <v>0</v>
      </c>
    </row>
    <row r="14" spans="1:10" ht="18" x14ac:dyDescent="0.35">
      <c r="B14" s="3"/>
    </row>
    <row r="15" spans="1:10" ht="17.25" x14ac:dyDescent="0.35">
      <c r="B15" s="144" t="s">
        <v>31</v>
      </c>
      <c r="C15" s="145"/>
      <c r="D15" s="145"/>
      <c r="E15" s="145"/>
      <c r="F15" s="145"/>
      <c r="G15" s="146"/>
    </row>
    <row r="16" spans="1:10" x14ac:dyDescent="0.3">
      <c r="B16" s="22">
        <v>1</v>
      </c>
      <c r="C16" s="142" t="s">
        <v>32</v>
      </c>
      <c r="D16" s="142"/>
      <c r="E16" s="142"/>
      <c r="F16" s="142"/>
      <c r="G16" s="23">
        <f>ROUND('5. Memória Cálculo Variáveis'!C5,2)</f>
        <v>0</v>
      </c>
      <c r="I16" s="13"/>
      <c r="J16" s="10"/>
    </row>
    <row r="17" spans="1:12" x14ac:dyDescent="0.3">
      <c r="B17" s="24">
        <v>2</v>
      </c>
      <c r="C17" s="138" t="s">
        <v>33</v>
      </c>
      <c r="D17" s="138"/>
      <c r="E17" s="138"/>
      <c r="F17" s="138"/>
      <c r="G17" s="25">
        <f>ROUND('5. Memória Cálculo Variáveis'!C11,2)</f>
        <v>0</v>
      </c>
      <c r="I17" s="13"/>
      <c r="J17" s="10"/>
    </row>
    <row r="18" spans="1:12" x14ac:dyDescent="0.3">
      <c r="B18" s="24">
        <v>3</v>
      </c>
      <c r="C18" s="138" t="s">
        <v>34</v>
      </c>
      <c r="D18" s="138"/>
      <c r="E18" s="138"/>
      <c r="F18" s="138"/>
      <c r="G18" s="25">
        <f>ROUND('5. Memória Cálculo Variáveis'!C17,2)</f>
        <v>0</v>
      </c>
      <c r="I18" s="13"/>
      <c r="J18" s="10"/>
    </row>
    <row r="19" spans="1:12" x14ac:dyDescent="0.3">
      <c r="B19" s="24">
        <v>4</v>
      </c>
      <c r="C19" s="138" t="s">
        <v>35</v>
      </c>
      <c r="D19" s="138"/>
      <c r="E19" s="138"/>
      <c r="F19" s="138"/>
      <c r="G19" s="25">
        <f>ROUND('5. Memória Cálculo Variáveis'!C23,2)</f>
        <v>0</v>
      </c>
      <c r="I19" s="13"/>
      <c r="J19" s="10"/>
      <c r="K19" s="4"/>
    </row>
    <row r="20" spans="1:12" x14ac:dyDescent="0.3">
      <c r="B20" s="24">
        <v>5</v>
      </c>
      <c r="C20" s="138" t="s">
        <v>36</v>
      </c>
      <c r="D20" s="138"/>
      <c r="E20" s="138"/>
      <c r="F20" s="138"/>
      <c r="G20" s="25">
        <f>ROUND('5. Memória Cálculo Variáveis'!C29,2)</f>
        <v>0</v>
      </c>
      <c r="I20" s="13"/>
      <c r="J20" s="10"/>
    </row>
    <row r="21" spans="1:12" x14ac:dyDescent="0.3">
      <c r="B21" s="24">
        <v>6</v>
      </c>
      <c r="C21" s="138" t="s">
        <v>28</v>
      </c>
      <c r="D21" s="138"/>
      <c r="E21" s="138"/>
      <c r="F21" s="138"/>
      <c r="G21" s="25">
        <f>ROUND('5. Memória Cálculo Variáveis'!C36,2)</f>
        <v>0</v>
      </c>
      <c r="I21" s="13"/>
      <c r="J21" s="10"/>
    </row>
    <row r="22" spans="1:12" s="6" customFormat="1" ht="16.5" customHeight="1" x14ac:dyDescent="0.3">
      <c r="A22" s="96"/>
      <c r="B22" s="147" t="s">
        <v>29</v>
      </c>
      <c r="C22" s="148"/>
      <c r="D22" s="148"/>
      <c r="E22" s="148"/>
      <c r="F22" s="148"/>
      <c r="G22" s="100">
        <f>SUM(G16:G21)</f>
        <v>0</v>
      </c>
      <c r="I22" s="97"/>
      <c r="K22" s="98"/>
      <c r="L22" s="103"/>
    </row>
    <row r="23" spans="1:12" x14ac:dyDescent="0.3">
      <c r="B23" s="144" t="s">
        <v>37</v>
      </c>
      <c r="C23" s="145"/>
      <c r="D23" s="145"/>
      <c r="E23" s="145"/>
      <c r="F23" s="146"/>
      <c r="G23" s="102">
        <f>ROUND(G22/6/12,2)</f>
        <v>0</v>
      </c>
    </row>
    <row r="25" spans="1:12" x14ac:dyDescent="0.3">
      <c r="B25" s="144" t="s">
        <v>38</v>
      </c>
      <c r="C25" s="145"/>
      <c r="D25" s="145"/>
      <c r="E25" s="145"/>
      <c r="F25" s="146"/>
      <c r="G25" s="102">
        <f>G13+G23</f>
        <v>0</v>
      </c>
    </row>
    <row r="26" spans="1:12" ht="18" x14ac:dyDescent="0.35">
      <c r="B26" s="150" t="s">
        <v>39</v>
      </c>
      <c r="C26" s="151"/>
      <c r="D26" s="151"/>
      <c r="E26" s="151"/>
      <c r="F26" s="152"/>
      <c r="G26" s="108">
        <f>G25*12</f>
        <v>0</v>
      </c>
    </row>
  </sheetData>
  <mergeCells count="23">
    <mergeCell ref="B23:F23"/>
    <mergeCell ref="B12:F12"/>
    <mergeCell ref="B25:F25"/>
    <mergeCell ref="B26:F26"/>
    <mergeCell ref="B13:F13"/>
    <mergeCell ref="B22:F22"/>
    <mergeCell ref="B15:G15"/>
    <mergeCell ref="C19:F19"/>
    <mergeCell ref="C20:F20"/>
    <mergeCell ref="C21:F21"/>
    <mergeCell ref="C16:F16"/>
    <mergeCell ref="C17:F17"/>
    <mergeCell ref="C18:F18"/>
    <mergeCell ref="C8:F8"/>
    <mergeCell ref="C11:F11"/>
    <mergeCell ref="C10:F10"/>
    <mergeCell ref="C9:F9"/>
    <mergeCell ref="A1:G1"/>
    <mergeCell ref="A2:G2"/>
    <mergeCell ref="C7:F7"/>
    <mergeCell ref="C6:F6"/>
    <mergeCell ref="C5:F5"/>
    <mergeCell ref="B4:F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6"/>
  <dimension ref="A1:N141"/>
  <sheetViews>
    <sheetView view="pageBreakPreview" zoomScaleNormal="100" zoomScaleSheetLayoutView="100" workbookViewId="0">
      <selection activeCell="J30" sqref="J30:K30"/>
    </sheetView>
  </sheetViews>
  <sheetFormatPr defaultColWidth="9.140625" defaultRowHeight="16.5" x14ac:dyDescent="0.3"/>
  <cols>
    <col min="1" max="1" width="6.28515625" style="1" customWidth="1"/>
    <col min="2" max="5" width="9.140625" style="1"/>
    <col min="6" max="6" width="7.28515625" style="1" customWidth="1"/>
    <col min="7" max="7" width="9.42578125" style="1" customWidth="1"/>
    <col min="8" max="8" width="7.85546875" style="1" customWidth="1"/>
    <col min="9" max="11" width="10.85546875" style="1" customWidth="1"/>
    <col min="12" max="12" width="7.85546875" style="1" customWidth="1"/>
    <col min="13" max="13" width="10.85546875" style="1" customWidth="1"/>
    <col min="14" max="16384" width="9.140625" style="1"/>
  </cols>
  <sheetData>
    <row r="1" spans="1:13" x14ac:dyDescent="0.3">
      <c r="A1" s="159" t="s">
        <v>40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1"/>
    </row>
    <row r="2" spans="1:13" ht="28.5" customHeight="1" x14ac:dyDescent="0.3">
      <c r="A2" s="33" t="s">
        <v>3</v>
      </c>
      <c r="B2" s="162" t="s">
        <v>41</v>
      </c>
      <c r="C2" s="162"/>
      <c r="D2" s="162"/>
      <c r="E2" s="162"/>
      <c r="F2" s="162"/>
      <c r="G2" s="162"/>
      <c r="H2" s="162" t="s">
        <v>42</v>
      </c>
      <c r="I2" s="162"/>
      <c r="J2" s="162" t="s">
        <v>43</v>
      </c>
      <c r="K2" s="162"/>
      <c r="L2" s="162" t="s">
        <v>44</v>
      </c>
      <c r="M2" s="162"/>
    </row>
    <row r="3" spans="1:13" ht="7.5" customHeight="1" x14ac:dyDescent="0.3">
      <c r="A3" s="4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41"/>
    </row>
    <row r="4" spans="1:13" x14ac:dyDescent="0.3">
      <c r="A4" s="162" t="s">
        <v>45</v>
      </c>
      <c r="B4" s="163"/>
      <c r="C4" s="163"/>
      <c r="D4" s="163"/>
      <c r="E4" s="163"/>
      <c r="F4" s="163"/>
      <c r="G4" s="163"/>
      <c r="H4" s="162" t="s">
        <v>46</v>
      </c>
      <c r="I4" s="162"/>
      <c r="J4" s="162" t="s">
        <v>46</v>
      </c>
      <c r="K4" s="162"/>
      <c r="L4" s="162" t="s">
        <v>46</v>
      </c>
      <c r="M4" s="162"/>
    </row>
    <row r="5" spans="1:13" ht="27" customHeight="1" x14ac:dyDescent="0.3">
      <c r="A5" s="48">
        <v>1</v>
      </c>
      <c r="B5" s="153" t="s">
        <v>47</v>
      </c>
      <c r="C5" s="153"/>
      <c r="D5" s="153"/>
      <c r="E5" s="153"/>
      <c r="F5" s="153"/>
      <c r="G5" s="153"/>
      <c r="H5" s="154"/>
      <c r="I5" s="154"/>
      <c r="J5" s="154">
        <f>H5</f>
        <v>0</v>
      </c>
      <c r="K5" s="154"/>
      <c r="L5" s="154">
        <f>H5</f>
        <v>0</v>
      </c>
      <c r="M5" s="154"/>
    </row>
    <row r="6" spans="1:13" ht="29.25" customHeight="1" x14ac:dyDescent="0.3">
      <c r="A6" s="49">
        <v>2</v>
      </c>
      <c r="B6" s="155" t="s">
        <v>48</v>
      </c>
      <c r="C6" s="155"/>
      <c r="D6" s="155"/>
      <c r="E6" s="155"/>
      <c r="F6" s="155"/>
      <c r="G6" s="155"/>
      <c r="H6" s="156" t="s">
        <v>49</v>
      </c>
      <c r="I6" s="156"/>
      <c r="J6" s="156" t="s">
        <v>49</v>
      </c>
      <c r="K6" s="156"/>
      <c r="L6" s="157" t="s">
        <v>49</v>
      </c>
      <c r="M6" s="158"/>
    </row>
    <row r="7" spans="1:13" x14ac:dyDescent="0.3">
      <c r="A7" s="50">
        <v>3</v>
      </c>
      <c r="B7" s="168" t="s">
        <v>50</v>
      </c>
      <c r="C7" s="168"/>
      <c r="D7" s="168"/>
      <c r="E7" s="168"/>
      <c r="F7" s="168"/>
      <c r="G7" s="168"/>
      <c r="H7" s="169">
        <v>45108</v>
      </c>
      <c r="I7" s="169"/>
      <c r="J7" s="169">
        <v>45108</v>
      </c>
      <c r="K7" s="169"/>
      <c r="L7" s="169">
        <f>H7</f>
        <v>45108</v>
      </c>
      <c r="M7" s="169"/>
    </row>
    <row r="8" spans="1:13" x14ac:dyDescent="0.3">
      <c r="A8" s="162" t="s">
        <v>51</v>
      </c>
      <c r="B8" s="162"/>
      <c r="C8" s="162"/>
      <c r="D8" s="162"/>
      <c r="E8" s="162"/>
      <c r="F8" s="162"/>
      <c r="G8" s="162"/>
      <c r="H8" s="34" t="s">
        <v>52</v>
      </c>
      <c r="I8" s="34" t="s">
        <v>53</v>
      </c>
      <c r="J8" s="34" t="s">
        <v>52</v>
      </c>
      <c r="K8" s="34" t="s">
        <v>53</v>
      </c>
      <c r="L8" s="34" t="s">
        <v>52</v>
      </c>
      <c r="M8" s="34" t="s">
        <v>53</v>
      </c>
    </row>
    <row r="9" spans="1:13" x14ac:dyDescent="0.3">
      <c r="A9" s="38">
        <v>4</v>
      </c>
      <c r="B9" s="170" t="s">
        <v>54</v>
      </c>
      <c r="C9" s="170"/>
      <c r="D9" s="170"/>
      <c r="E9" s="170"/>
      <c r="F9" s="170"/>
      <c r="G9" s="170"/>
      <c r="H9" s="35">
        <v>0.04</v>
      </c>
      <c r="I9" s="36">
        <f>H5*H9</f>
        <v>0</v>
      </c>
      <c r="J9" s="35">
        <v>0.04</v>
      </c>
      <c r="K9" s="36">
        <f>J5*J9</f>
        <v>0</v>
      </c>
      <c r="L9" s="35">
        <f>H9</f>
        <v>0.04</v>
      </c>
      <c r="M9" s="39">
        <f>L5*L9</f>
        <v>0</v>
      </c>
    </row>
    <row r="10" spans="1:13" ht="7.5" customHeight="1" x14ac:dyDescent="0.3">
      <c r="A10" s="4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</row>
    <row r="11" spans="1:13" x14ac:dyDescent="0.3">
      <c r="A11" s="46" t="s">
        <v>55</v>
      </c>
      <c r="B11" s="162" t="s">
        <v>56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</row>
    <row r="12" spans="1:13" x14ac:dyDescent="0.3">
      <c r="A12" s="164" t="s">
        <v>57</v>
      </c>
      <c r="B12" s="165"/>
      <c r="C12" s="165"/>
      <c r="D12" s="165"/>
      <c r="E12" s="165"/>
      <c r="F12" s="165"/>
      <c r="G12" s="166"/>
      <c r="H12" s="162" t="s">
        <v>53</v>
      </c>
      <c r="I12" s="162"/>
      <c r="J12" s="162" t="s">
        <v>53</v>
      </c>
      <c r="K12" s="162"/>
      <c r="L12" s="162" t="s">
        <v>53</v>
      </c>
      <c r="M12" s="162"/>
    </row>
    <row r="13" spans="1:13" x14ac:dyDescent="0.3">
      <c r="A13" s="48" t="s">
        <v>58</v>
      </c>
      <c r="B13" s="153" t="s">
        <v>59</v>
      </c>
      <c r="C13" s="153"/>
      <c r="D13" s="153"/>
      <c r="E13" s="153"/>
      <c r="F13" s="153"/>
      <c r="G13" s="153"/>
      <c r="H13" s="167">
        <f>H5+I9</f>
        <v>0</v>
      </c>
      <c r="I13" s="167"/>
      <c r="J13" s="167">
        <f>J5+K9</f>
        <v>0</v>
      </c>
      <c r="K13" s="167"/>
      <c r="L13" s="167">
        <f>L5+M9</f>
        <v>0</v>
      </c>
      <c r="M13" s="167"/>
    </row>
    <row r="14" spans="1:13" ht="30.75" customHeight="1" x14ac:dyDescent="0.3">
      <c r="A14" s="49" t="s">
        <v>60</v>
      </c>
      <c r="B14" s="155" t="s">
        <v>61</v>
      </c>
      <c r="C14" s="155"/>
      <c r="D14" s="155"/>
      <c r="E14" s="155"/>
      <c r="F14" s="155"/>
      <c r="G14" s="155"/>
      <c r="H14" s="173">
        <f>H13*0.15</f>
        <v>0</v>
      </c>
      <c r="I14" s="173"/>
      <c r="J14" s="173">
        <f>J13*0.15</f>
        <v>0</v>
      </c>
      <c r="K14" s="173"/>
      <c r="L14" s="173">
        <f>L13*0.15</f>
        <v>0</v>
      </c>
      <c r="M14" s="173"/>
    </row>
    <row r="15" spans="1:13" ht="33" customHeight="1" x14ac:dyDescent="0.3">
      <c r="A15" s="49" t="s">
        <v>62</v>
      </c>
      <c r="B15" s="155" t="s">
        <v>63</v>
      </c>
      <c r="C15" s="155"/>
      <c r="D15" s="155"/>
      <c r="E15" s="155"/>
      <c r="F15" s="155"/>
      <c r="G15" s="155"/>
      <c r="H15" s="173">
        <f>H5*0.12</f>
        <v>0</v>
      </c>
      <c r="I15" s="173"/>
      <c r="J15" s="173">
        <f>J5*0.12</f>
        <v>0</v>
      </c>
      <c r="K15" s="173"/>
      <c r="L15" s="173">
        <f>L5*0.12</f>
        <v>0</v>
      </c>
      <c r="M15" s="173"/>
    </row>
    <row r="16" spans="1:13" ht="27" customHeight="1" x14ac:dyDescent="0.3">
      <c r="A16" s="49" t="s">
        <v>64</v>
      </c>
      <c r="B16" s="171" t="s">
        <v>65</v>
      </c>
      <c r="C16" s="171"/>
      <c r="D16" s="171"/>
      <c r="E16" s="171"/>
      <c r="F16" s="171"/>
      <c r="G16" s="171"/>
      <c r="H16" s="172" t="s">
        <v>66</v>
      </c>
      <c r="I16" s="172"/>
      <c r="J16" s="172" t="s">
        <v>66</v>
      </c>
      <c r="K16" s="172"/>
      <c r="L16" s="173">
        <f>L13*0.2</f>
        <v>0</v>
      </c>
      <c r="M16" s="173"/>
    </row>
    <row r="17" spans="1:14" x14ac:dyDescent="0.3">
      <c r="A17" s="50" t="s">
        <v>67</v>
      </c>
      <c r="B17" s="174" t="s">
        <v>68</v>
      </c>
      <c r="C17" s="174"/>
      <c r="D17" s="174"/>
      <c r="E17" s="174"/>
      <c r="F17" s="174"/>
      <c r="G17" s="174"/>
      <c r="H17" s="175">
        <f>H13/220*(1+50/100)*0</f>
        <v>0</v>
      </c>
      <c r="I17" s="175"/>
      <c r="J17" s="173">
        <f>J13*0.15</f>
        <v>0</v>
      </c>
      <c r="K17" s="173"/>
      <c r="L17" s="175">
        <f>L13/220*(1+50/100)*0</f>
        <v>0</v>
      </c>
      <c r="M17" s="175"/>
      <c r="N17" s="28"/>
    </row>
    <row r="18" spans="1:14" x14ac:dyDescent="0.3">
      <c r="A18" s="183" t="s">
        <v>69</v>
      </c>
      <c r="B18" s="184"/>
      <c r="C18" s="184"/>
      <c r="D18" s="184"/>
      <c r="E18" s="184"/>
      <c r="F18" s="184"/>
      <c r="G18" s="185"/>
      <c r="H18" s="186">
        <f>SUM(H13:I17)</f>
        <v>0</v>
      </c>
      <c r="I18" s="186"/>
      <c r="J18" s="186">
        <f>SUM(J13:K17)</f>
        <v>0</v>
      </c>
      <c r="K18" s="186"/>
      <c r="L18" s="186">
        <f>SUM(L13:M17)</f>
        <v>0</v>
      </c>
      <c r="M18" s="186"/>
    </row>
    <row r="19" spans="1:14" x14ac:dyDescent="0.3">
      <c r="A19" s="37" t="s">
        <v>70</v>
      </c>
      <c r="B19" s="187" t="s">
        <v>71</v>
      </c>
      <c r="C19" s="188"/>
      <c r="D19" s="188"/>
      <c r="E19" s="188"/>
      <c r="F19" s="189"/>
      <c r="G19" s="47">
        <v>0.02</v>
      </c>
      <c r="H19" s="190">
        <f>H18*G19</f>
        <v>0</v>
      </c>
      <c r="I19" s="190"/>
      <c r="J19" s="190">
        <f>J18*G19</f>
        <v>0</v>
      </c>
      <c r="K19" s="190"/>
      <c r="L19" s="190">
        <f>L18*G19</f>
        <v>0</v>
      </c>
      <c r="M19" s="190"/>
    </row>
    <row r="20" spans="1:14" x14ac:dyDescent="0.3">
      <c r="A20" s="176" t="s">
        <v>72</v>
      </c>
      <c r="B20" s="177"/>
      <c r="C20" s="177"/>
      <c r="D20" s="177"/>
      <c r="E20" s="177"/>
      <c r="F20" s="177"/>
      <c r="G20" s="178"/>
      <c r="H20" s="179">
        <f>SUM(H18:H19)</f>
        <v>0</v>
      </c>
      <c r="I20" s="180"/>
      <c r="J20" s="179">
        <f>SUM(J18:J19)</f>
        <v>0</v>
      </c>
      <c r="K20" s="180"/>
      <c r="L20" s="179">
        <f>SUM(L18:L19)</f>
        <v>0</v>
      </c>
      <c r="M20" s="180"/>
    </row>
    <row r="21" spans="1:14" ht="7.5" customHeight="1" x14ac:dyDescent="0.3">
      <c r="A21" s="4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43"/>
    </row>
    <row r="22" spans="1:14" x14ac:dyDescent="0.3">
      <c r="A22" s="33" t="s">
        <v>73</v>
      </c>
      <c r="B22" s="162" t="s">
        <v>74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</row>
    <row r="23" spans="1:14" x14ac:dyDescent="0.3">
      <c r="A23" s="164" t="s">
        <v>75</v>
      </c>
      <c r="B23" s="181"/>
      <c r="C23" s="181"/>
      <c r="D23" s="181"/>
      <c r="E23" s="181"/>
      <c r="F23" s="181"/>
      <c r="G23" s="182"/>
      <c r="H23" s="162" t="s">
        <v>53</v>
      </c>
      <c r="I23" s="162"/>
      <c r="J23" s="162" t="s">
        <v>53</v>
      </c>
      <c r="K23" s="162"/>
      <c r="L23" s="162" t="s">
        <v>53</v>
      </c>
      <c r="M23" s="162"/>
    </row>
    <row r="24" spans="1:14" x14ac:dyDescent="0.3">
      <c r="A24" s="48" t="s">
        <v>58</v>
      </c>
      <c r="B24" s="153" t="s">
        <v>76</v>
      </c>
      <c r="C24" s="153"/>
      <c r="D24" s="153"/>
      <c r="E24" s="153"/>
      <c r="F24" s="153"/>
      <c r="G24" s="153"/>
      <c r="H24" s="167"/>
      <c r="I24" s="167"/>
      <c r="J24" s="167">
        <f>H24</f>
        <v>0</v>
      </c>
      <c r="K24" s="167"/>
      <c r="L24" s="167">
        <f>H24</f>
        <v>0</v>
      </c>
      <c r="M24" s="167"/>
    </row>
    <row r="25" spans="1:14" ht="27" customHeight="1" x14ac:dyDescent="0.3">
      <c r="A25" s="49" t="s">
        <v>60</v>
      </c>
      <c r="B25" s="155" t="s">
        <v>77</v>
      </c>
      <c r="C25" s="155"/>
      <c r="D25" s="155"/>
      <c r="E25" s="155"/>
      <c r="F25" s="155"/>
      <c r="G25" s="155"/>
      <c r="H25" s="191"/>
      <c r="I25" s="191"/>
      <c r="J25" s="167">
        <f>H25</f>
        <v>0</v>
      </c>
      <c r="K25" s="167"/>
      <c r="L25" s="167">
        <f>H25</f>
        <v>0</v>
      </c>
      <c r="M25" s="167"/>
    </row>
    <row r="26" spans="1:14" ht="27" customHeight="1" x14ac:dyDescent="0.3">
      <c r="A26" s="49" t="s">
        <v>62</v>
      </c>
      <c r="B26" s="155" t="s">
        <v>78</v>
      </c>
      <c r="C26" s="155"/>
      <c r="D26" s="155"/>
      <c r="E26" s="155"/>
      <c r="F26" s="155"/>
      <c r="G26" s="155"/>
      <c r="H26" s="191"/>
      <c r="I26" s="191"/>
      <c r="J26" s="167">
        <f>H26</f>
        <v>0</v>
      </c>
      <c r="K26" s="167"/>
      <c r="L26" s="167">
        <f>H26</f>
        <v>0</v>
      </c>
      <c r="M26" s="167"/>
    </row>
    <row r="27" spans="1:14" ht="27" customHeight="1" x14ac:dyDescent="0.3">
      <c r="A27" s="49" t="s">
        <v>64</v>
      </c>
      <c r="B27" s="155" t="s">
        <v>79</v>
      </c>
      <c r="C27" s="155"/>
      <c r="D27" s="155"/>
      <c r="E27" s="155"/>
      <c r="F27" s="155"/>
      <c r="G27" s="155"/>
      <c r="H27" s="191"/>
      <c r="I27" s="191"/>
      <c r="J27" s="167">
        <f>H27</f>
        <v>0</v>
      </c>
      <c r="K27" s="167"/>
      <c r="L27" s="167">
        <f>H27</f>
        <v>0</v>
      </c>
      <c r="M27" s="167"/>
    </row>
    <row r="28" spans="1:14" ht="27" customHeight="1" x14ac:dyDescent="0.3">
      <c r="A28" s="49" t="s">
        <v>67</v>
      </c>
      <c r="B28" s="171" t="s">
        <v>80</v>
      </c>
      <c r="C28" s="171"/>
      <c r="D28" s="171"/>
      <c r="E28" s="171"/>
      <c r="F28" s="171"/>
      <c r="G28" s="171"/>
      <c r="H28" s="192">
        <f>50/100*H13/30/12</f>
        <v>0</v>
      </c>
      <c r="I28" s="192"/>
      <c r="J28" s="167">
        <f>H28</f>
        <v>0</v>
      </c>
      <c r="K28" s="167"/>
      <c r="L28" s="167">
        <f>H28</f>
        <v>0</v>
      </c>
      <c r="M28" s="167"/>
    </row>
    <row r="29" spans="1:14" x14ac:dyDescent="0.3">
      <c r="A29" s="49" t="s">
        <v>70</v>
      </c>
      <c r="B29" s="171" t="s">
        <v>81</v>
      </c>
      <c r="C29" s="171"/>
      <c r="D29" s="171"/>
      <c r="E29" s="171"/>
      <c r="F29" s="171"/>
      <c r="G29" s="171"/>
      <c r="H29" s="192">
        <v>0</v>
      </c>
      <c r="I29" s="192"/>
      <c r="J29" s="192">
        <v>0</v>
      </c>
      <c r="K29" s="192"/>
      <c r="L29" s="192">
        <v>0</v>
      </c>
      <c r="M29" s="192"/>
    </row>
    <row r="30" spans="1:14" ht="27" customHeight="1" x14ac:dyDescent="0.3">
      <c r="A30" s="49" t="s">
        <v>82</v>
      </c>
      <c r="B30" s="171" t="s">
        <v>83</v>
      </c>
      <c r="C30" s="171"/>
      <c r="D30" s="171"/>
      <c r="E30" s="171"/>
      <c r="F30" s="171"/>
      <c r="G30" s="171"/>
      <c r="H30" s="192"/>
      <c r="I30" s="192"/>
      <c r="J30" s="167">
        <f>H30</f>
        <v>0</v>
      </c>
      <c r="K30" s="167"/>
      <c r="L30" s="167">
        <f>H30</f>
        <v>0</v>
      </c>
      <c r="M30" s="167"/>
    </row>
    <row r="31" spans="1:14" ht="27" customHeight="1" x14ac:dyDescent="0.3">
      <c r="A31" s="50" t="s">
        <v>84</v>
      </c>
      <c r="B31" s="174" t="s">
        <v>85</v>
      </c>
      <c r="C31" s="174"/>
      <c r="D31" s="174"/>
      <c r="E31" s="174"/>
      <c r="F31" s="174"/>
      <c r="G31" s="174"/>
      <c r="H31" s="193">
        <f>0.9696/100/12*H13*12</f>
        <v>0</v>
      </c>
      <c r="I31" s="193"/>
      <c r="J31" s="167">
        <f>H31</f>
        <v>0</v>
      </c>
      <c r="K31" s="167"/>
      <c r="L31" s="167">
        <f>H31</f>
        <v>0</v>
      </c>
      <c r="M31" s="167"/>
    </row>
    <row r="32" spans="1:14" x14ac:dyDescent="0.3">
      <c r="A32" s="183" t="s">
        <v>69</v>
      </c>
      <c r="B32" s="184"/>
      <c r="C32" s="184"/>
      <c r="D32" s="184"/>
      <c r="E32" s="184"/>
      <c r="F32" s="184"/>
      <c r="G32" s="185"/>
      <c r="H32" s="186">
        <f>SUM(H24:I31)</f>
        <v>0</v>
      </c>
      <c r="I32" s="186"/>
      <c r="J32" s="186">
        <f>SUM(J24:K31)</f>
        <v>0</v>
      </c>
      <c r="K32" s="186"/>
      <c r="L32" s="186">
        <f>SUM(L24:M31)</f>
        <v>0</v>
      </c>
      <c r="M32" s="186"/>
    </row>
    <row r="33" spans="1:13" x14ac:dyDescent="0.3">
      <c r="A33" s="37" t="s">
        <v>55</v>
      </c>
      <c r="B33" s="187" t="s">
        <v>71</v>
      </c>
      <c r="C33" s="188"/>
      <c r="D33" s="188"/>
      <c r="E33" s="188"/>
      <c r="F33" s="189"/>
      <c r="G33" s="47">
        <v>0.02</v>
      </c>
      <c r="H33" s="190">
        <f>H32*G33</f>
        <v>0</v>
      </c>
      <c r="I33" s="190"/>
      <c r="J33" s="190">
        <f>J32*G33</f>
        <v>0</v>
      </c>
      <c r="K33" s="190"/>
      <c r="L33" s="190">
        <f>L32*G33</f>
        <v>0</v>
      </c>
      <c r="M33" s="190"/>
    </row>
    <row r="34" spans="1:13" x14ac:dyDescent="0.3">
      <c r="A34" s="176" t="s">
        <v>72</v>
      </c>
      <c r="B34" s="177"/>
      <c r="C34" s="177"/>
      <c r="D34" s="177"/>
      <c r="E34" s="177"/>
      <c r="F34" s="177"/>
      <c r="G34" s="178"/>
      <c r="H34" s="194">
        <f>SUM(H32:H33)</f>
        <v>0</v>
      </c>
      <c r="I34" s="194"/>
      <c r="J34" s="194">
        <f>SUM(J32:J33)</f>
        <v>0</v>
      </c>
      <c r="K34" s="194"/>
      <c r="L34" s="194">
        <f>SUM(L32:L33)</f>
        <v>0</v>
      </c>
      <c r="M34" s="194"/>
    </row>
    <row r="35" spans="1:13" ht="7.5" customHeight="1" x14ac:dyDescent="0.3">
      <c r="A35" s="4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43"/>
    </row>
    <row r="36" spans="1:13" x14ac:dyDescent="0.3">
      <c r="A36" s="33" t="s">
        <v>86</v>
      </c>
      <c r="B36" s="162" t="s">
        <v>87</v>
      </c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</row>
    <row r="37" spans="1:13" x14ac:dyDescent="0.3">
      <c r="A37" s="164" t="s">
        <v>88</v>
      </c>
      <c r="B37" s="181"/>
      <c r="C37" s="181"/>
      <c r="D37" s="181"/>
      <c r="E37" s="181"/>
      <c r="F37" s="181"/>
      <c r="G37" s="182"/>
      <c r="H37" s="162" t="s">
        <v>53</v>
      </c>
      <c r="I37" s="162"/>
      <c r="J37" s="162" t="s">
        <v>53</v>
      </c>
      <c r="K37" s="162"/>
      <c r="L37" s="162" t="s">
        <v>53</v>
      </c>
      <c r="M37" s="162"/>
    </row>
    <row r="38" spans="1:13" ht="27" customHeight="1" x14ac:dyDescent="0.3">
      <c r="A38" s="48" t="s">
        <v>58</v>
      </c>
      <c r="B38" s="197" t="s">
        <v>89</v>
      </c>
      <c r="C38" s="197"/>
      <c r="D38" s="197"/>
      <c r="E38" s="197"/>
      <c r="F38" s="197"/>
      <c r="G38" s="197"/>
      <c r="H38" s="198"/>
      <c r="I38" s="198"/>
      <c r="J38" s="198">
        <f>H38</f>
        <v>0</v>
      </c>
      <c r="K38" s="198"/>
      <c r="L38" s="198">
        <f>H38</f>
        <v>0</v>
      </c>
      <c r="M38" s="198"/>
    </row>
    <row r="39" spans="1:13" x14ac:dyDescent="0.3">
      <c r="A39" s="51" t="s">
        <v>60</v>
      </c>
      <c r="B39" s="199" t="s">
        <v>90</v>
      </c>
      <c r="C39" s="199"/>
      <c r="D39" s="199"/>
      <c r="E39" s="199"/>
      <c r="F39" s="199"/>
      <c r="G39" s="199"/>
      <c r="H39" s="200"/>
      <c r="I39" s="200"/>
      <c r="J39" s="200"/>
      <c r="K39" s="200"/>
      <c r="L39" s="200"/>
      <c r="M39" s="200"/>
    </row>
    <row r="40" spans="1:13" x14ac:dyDescent="0.3">
      <c r="A40" s="176" t="s">
        <v>72</v>
      </c>
      <c r="B40" s="177"/>
      <c r="C40" s="177"/>
      <c r="D40" s="177"/>
      <c r="E40" s="177"/>
      <c r="F40" s="177"/>
      <c r="G40" s="178"/>
      <c r="H40" s="194">
        <f>SUM(H38:H39)</f>
        <v>0</v>
      </c>
      <c r="I40" s="194"/>
      <c r="J40" s="194">
        <f>SUM(J38:J39)</f>
        <v>0</v>
      </c>
      <c r="K40" s="194"/>
      <c r="L40" s="194">
        <f>SUM(L38:L39)</f>
        <v>0</v>
      </c>
      <c r="M40" s="194"/>
    </row>
    <row r="41" spans="1:13" ht="24" customHeight="1" x14ac:dyDescent="0.3">
      <c r="A41" s="92"/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</row>
    <row r="42" spans="1:13" x14ac:dyDescent="0.3">
      <c r="A42" s="33" t="s">
        <v>91</v>
      </c>
      <c r="B42" s="162" t="s">
        <v>92</v>
      </c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</row>
    <row r="43" spans="1:13" x14ac:dyDescent="0.3">
      <c r="A43" s="164" t="s">
        <v>93</v>
      </c>
      <c r="B43" s="195"/>
      <c r="C43" s="195"/>
      <c r="D43" s="195"/>
      <c r="E43" s="195"/>
      <c r="F43" s="195"/>
      <c r="G43" s="195"/>
      <c r="H43" s="195"/>
      <c r="I43" s="195"/>
      <c r="J43" s="195"/>
      <c r="K43" s="195"/>
      <c r="L43" s="195"/>
      <c r="M43" s="196"/>
    </row>
    <row r="44" spans="1:13" ht="7.5" customHeight="1" x14ac:dyDescent="0.3">
      <c r="A44" s="52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4"/>
    </row>
    <row r="45" spans="1:13" ht="30.75" customHeight="1" x14ac:dyDescent="0.3">
      <c r="A45" s="33" t="s">
        <v>94</v>
      </c>
      <c r="B45" s="162" t="s">
        <v>95</v>
      </c>
      <c r="C45" s="162"/>
      <c r="D45" s="162"/>
      <c r="E45" s="162"/>
      <c r="F45" s="162"/>
      <c r="G45" s="162"/>
      <c r="H45" s="162" t="s">
        <v>42</v>
      </c>
      <c r="I45" s="162"/>
      <c r="J45" s="162" t="s">
        <v>43</v>
      </c>
      <c r="K45" s="162"/>
      <c r="L45" s="162" t="s">
        <v>44</v>
      </c>
      <c r="M45" s="162"/>
    </row>
    <row r="46" spans="1:13" x14ac:dyDescent="0.3">
      <c r="A46" s="164" t="s">
        <v>96</v>
      </c>
      <c r="B46" s="203"/>
      <c r="C46" s="203"/>
      <c r="D46" s="203"/>
      <c r="E46" s="203"/>
      <c r="F46" s="203"/>
      <c r="G46" s="204"/>
      <c r="H46" s="34" t="s">
        <v>52</v>
      </c>
      <c r="I46" s="34" t="s">
        <v>53</v>
      </c>
      <c r="J46" s="34" t="s">
        <v>52</v>
      </c>
      <c r="K46" s="34" t="s">
        <v>53</v>
      </c>
      <c r="L46" s="34" t="s">
        <v>52</v>
      </c>
      <c r="M46" s="34" t="s">
        <v>53</v>
      </c>
    </row>
    <row r="47" spans="1:13" x14ac:dyDescent="0.3">
      <c r="A47" s="60" t="s">
        <v>58</v>
      </c>
      <c r="B47" s="205" t="s">
        <v>97</v>
      </c>
      <c r="C47" s="205"/>
      <c r="D47" s="205"/>
      <c r="E47" s="205"/>
      <c r="F47" s="205"/>
      <c r="G47" s="205"/>
      <c r="H47" s="61">
        <v>0.2</v>
      </c>
      <c r="I47" s="62">
        <f t="shared" ref="I47:I54" si="0">$H$20*H47</f>
        <v>0</v>
      </c>
      <c r="J47" s="61">
        <v>0.2</v>
      </c>
      <c r="K47" s="62">
        <f t="shared" ref="K47:K54" si="1">$J$20*J47</f>
        <v>0</v>
      </c>
      <c r="L47" s="61">
        <v>0.2</v>
      </c>
      <c r="M47" s="62">
        <f>$L$20*L47</f>
        <v>0</v>
      </c>
    </row>
    <row r="48" spans="1:13" x14ac:dyDescent="0.3">
      <c r="A48" s="63" t="s">
        <v>60</v>
      </c>
      <c r="B48" s="201" t="s">
        <v>98</v>
      </c>
      <c r="C48" s="201"/>
      <c r="D48" s="201"/>
      <c r="E48" s="201"/>
      <c r="F48" s="201"/>
      <c r="G48" s="201"/>
      <c r="H48" s="64">
        <v>1.4999999999999999E-2</v>
      </c>
      <c r="I48" s="65">
        <f t="shared" si="0"/>
        <v>0</v>
      </c>
      <c r="J48" s="64">
        <v>1.4999999999999999E-2</v>
      </c>
      <c r="K48" s="65">
        <f t="shared" si="1"/>
        <v>0</v>
      </c>
      <c r="L48" s="64">
        <v>1.4999999999999999E-2</v>
      </c>
      <c r="M48" s="65">
        <f t="shared" ref="M48:M54" si="2">$L$20*L48</f>
        <v>0</v>
      </c>
    </row>
    <row r="49" spans="1:13" x14ac:dyDescent="0.3">
      <c r="A49" s="63" t="s">
        <v>62</v>
      </c>
      <c r="B49" s="201" t="s">
        <v>99</v>
      </c>
      <c r="C49" s="201"/>
      <c r="D49" s="201"/>
      <c r="E49" s="201"/>
      <c r="F49" s="201"/>
      <c r="G49" s="201"/>
      <c r="H49" s="66">
        <v>0.01</v>
      </c>
      <c r="I49" s="65">
        <f t="shared" si="0"/>
        <v>0</v>
      </c>
      <c r="J49" s="66">
        <v>0.01</v>
      </c>
      <c r="K49" s="65">
        <f t="shared" si="1"/>
        <v>0</v>
      </c>
      <c r="L49" s="66">
        <v>0.01</v>
      </c>
      <c r="M49" s="65">
        <f t="shared" si="2"/>
        <v>0</v>
      </c>
    </row>
    <row r="50" spans="1:13" x14ac:dyDescent="0.3">
      <c r="A50" s="63" t="s">
        <v>64</v>
      </c>
      <c r="B50" s="201" t="s">
        <v>100</v>
      </c>
      <c r="C50" s="201"/>
      <c r="D50" s="201"/>
      <c r="E50" s="201"/>
      <c r="F50" s="201"/>
      <c r="G50" s="201"/>
      <c r="H50" s="64">
        <v>2E-3</v>
      </c>
      <c r="I50" s="65">
        <f t="shared" si="0"/>
        <v>0</v>
      </c>
      <c r="J50" s="64">
        <v>2E-3</v>
      </c>
      <c r="K50" s="65">
        <f t="shared" si="1"/>
        <v>0</v>
      </c>
      <c r="L50" s="64">
        <v>2E-3</v>
      </c>
      <c r="M50" s="65">
        <f t="shared" si="2"/>
        <v>0</v>
      </c>
    </row>
    <row r="51" spans="1:13" x14ac:dyDescent="0.3">
      <c r="A51" s="63" t="s">
        <v>67</v>
      </c>
      <c r="B51" s="201" t="s">
        <v>101</v>
      </c>
      <c r="C51" s="201"/>
      <c r="D51" s="201"/>
      <c r="E51" s="201"/>
      <c r="F51" s="201"/>
      <c r="G51" s="201"/>
      <c r="H51" s="64">
        <v>2.5000000000000001E-2</v>
      </c>
      <c r="I51" s="65">
        <f t="shared" si="0"/>
        <v>0</v>
      </c>
      <c r="J51" s="64">
        <v>2.5000000000000001E-2</v>
      </c>
      <c r="K51" s="65">
        <f t="shared" si="1"/>
        <v>0</v>
      </c>
      <c r="L51" s="64">
        <v>2.5000000000000001E-2</v>
      </c>
      <c r="M51" s="65">
        <f t="shared" si="2"/>
        <v>0</v>
      </c>
    </row>
    <row r="52" spans="1:13" x14ac:dyDescent="0.3">
      <c r="A52" s="63" t="s">
        <v>70</v>
      </c>
      <c r="B52" s="201" t="s">
        <v>102</v>
      </c>
      <c r="C52" s="201"/>
      <c r="D52" s="201"/>
      <c r="E52" s="201"/>
      <c r="F52" s="201"/>
      <c r="G52" s="201"/>
      <c r="H52" s="66">
        <v>0.08</v>
      </c>
      <c r="I52" s="65">
        <f t="shared" si="0"/>
        <v>0</v>
      </c>
      <c r="J52" s="66">
        <v>0.08</v>
      </c>
      <c r="K52" s="65">
        <f t="shared" si="1"/>
        <v>0</v>
      </c>
      <c r="L52" s="66">
        <v>0.08</v>
      </c>
      <c r="M52" s="65">
        <f t="shared" si="2"/>
        <v>0</v>
      </c>
    </row>
    <row r="53" spans="1:13" x14ac:dyDescent="0.3">
      <c r="A53" s="63" t="s">
        <v>82</v>
      </c>
      <c r="B53" s="201" t="s">
        <v>103</v>
      </c>
      <c r="C53" s="201"/>
      <c r="D53" s="201"/>
      <c r="E53" s="201"/>
      <c r="F53" s="201"/>
      <c r="G53" s="201"/>
      <c r="H53" s="66">
        <v>0.03</v>
      </c>
      <c r="I53" s="65">
        <f t="shared" si="0"/>
        <v>0</v>
      </c>
      <c r="J53" s="66">
        <v>0.03</v>
      </c>
      <c r="K53" s="65">
        <f t="shared" si="1"/>
        <v>0</v>
      </c>
      <c r="L53" s="66">
        <v>0.03</v>
      </c>
      <c r="M53" s="65">
        <f t="shared" si="2"/>
        <v>0</v>
      </c>
    </row>
    <row r="54" spans="1:13" x14ac:dyDescent="0.3">
      <c r="A54" s="51" t="s">
        <v>84</v>
      </c>
      <c r="B54" s="202" t="s">
        <v>104</v>
      </c>
      <c r="C54" s="202"/>
      <c r="D54" s="202"/>
      <c r="E54" s="202"/>
      <c r="F54" s="202"/>
      <c r="G54" s="202"/>
      <c r="H54" s="67">
        <v>6.0000000000000001E-3</v>
      </c>
      <c r="I54" s="68">
        <f t="shared" si="0"/>
        <v>0</v>
      </c>
      <c r="J54" s="67">
        <v>6.0000000000000001E-3</v>
      </c>
      <c r="K54" s="68">
        <f t="shared" si="1"/>
        <v>0</v>
      </c>
      <c r="L54" s="67">
        <v>6.0000000000000001E-3</v>
      </c>
      <c r="M54" s="68">
        <f t="shared" si="2"/>
        <v>0</v>
      </c>
    </row>
    <row r="55" spans="1:13" x14ac:dyDescent="0.3">
      <c r="A55" s="176" t="s">
        <v>72</v>
      </c>
      <c r="B55" s="177"/>
      <c r="C55" s="177"/>
      <c r="D55" s="177"/>
      <c r="E55" s="177"/>
      <c r="F55" s="177"/>
      <c r="G55" s="178"/>
      <c r="H55" s="58">
        <f t="shared" ref="H55:M55" si="3">SUM(H47:H54)</f>
        <v>0.3680000000000001</v>
      </c>
      <c r="I55" s="59">
        <f t="shared" si="3"/>
        <v>0</v>
      </c>
      <c r="J55" s="58">
        <f t="shared" si="3"/>
        <v>0.3680000000000001</v>
      </c>
      <c r="K55" s="59">
        <f t="shared" si="3"/>
        <v>0</v>
      </c>
      <c r="L55" s="58">
        <f t="shared" si="3"/>
        <v>0.3680000000000001</v>
      </c>
      <c r="M55" s="59">
        <f t="shared" si="3"/>
        <v>0</v>
      </c>
    </row>
    <row r="56" spans="1:13" ht="7.5" customHeight="1" x14ac:dyDescent="0.3">
      <c r="A56" s="52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4"/>
    </row>
    <row r="57" spans="1:13" ht="33" customHeight="1" x14ac:dyDescent="0.3">
      <c r="A57" s="33" t="s">
        <v>105</v>
      </c>
      <c r="B57" s="162" t="s">
        <v>106</v>
      </c>
      <c r="C57" s="162"/>
      <c r="D57" s="162"/>
      <c r="E57" s="162"/>
      <c r="F57" s="162"/>
      <c r="G57" s="162"/>
      <c r="H57" s="162" t="s">
        <v>42</v>
      </c>
      <c r="I57" s="162"/>
      <c r="J57" s="162" t="s">
        <v>43</v>
      </c>
      <c r="K57" s="162"/>
      <c r="L57" s="162" t="s">
        <v>44</v>
      </c>
      <c r="M57" s="162"/>
    </row>
    <row r="58" spans="1:13" x14ac:dyDescent="0.3">
      <c r="A58" s="164" t="s">
        <v>107</v>
      </c>
      <c r="B58" s="203"/>
      <c r="C58" s="203"/>
      <c r="D58" s="203"/>
      <c r="E58" s="203"/>
      <c r="F58" s="203"/>
      <c r="G58" s="204"/>
      <c r="H58" s="34" t="s">
        <v>52</v>
      </c>
      <c r="I58" s="34" t="s">
        <v>53</v>
      </c>
      <c r="J58" s="34" t="s">
        <v>52</v>
      </c>
      <c r="K58" s="34" t="s">
        <v>53</v>
      </c>
      <c r="L58" s="34" t="s">
        <v>52</v>
      </c>
      <c r="M58" s="34" t="s">
        <v>53</v>
      </c>
    </row>
    <row r="59" spans="1:13" x14ac:dyDescent="0.3">
      <c r="A59" s="60" t="s">
        <v>58</v>
      </c>
      <c r="B59" s="206" t="s">
        <v>108</v>
      </c>
      <c r="C59" s="206"/>
      <c r="D59" s="206"/>
      <c r="E59" s="206"/>
      <c r="F59" s="206"/>
      <c r="G59" s="206"/>
      <c r="H59" s="78">
        <f>1/12</f>
        <v>8.3333333333333329E-2</v>
      </c>
      <c r="I59" s="62">
        <f>$H$20*H59</f>
        <v>0</v>
      </c>
      <c r="J59" s="78">
        <f>1/12</f>
        <v>8.3333333333333329E-2</v>
      </c>
      <c r="K59" s="62">
        <f>$J$20*J59</f>
        <v>0</v>
      </c>
      <c r="L59" s="78">
        <f>1/12</f>
        <v>8.3333333333333329E-2</v>
      </c>
      <c r="M59" s="62">
        <f>$L$20*L59</f>
        <v>0</v>
      </c>
    </row>
    <row r="60" spans="1:13" x14ac:dyDescent="0.3">
      <c r="A60" s="51" t="s">
        <v>60</v>
      </c>
      <c r="B60" s="207" t="s">
        <v>109</v>
      </c>
      <c r="C60" s="207"/>
      <c r="D60" s="207"/>
      <c r="E60" s="207"/>
      <c r="F60" s="207"/>
      <c r="G60" s="207"/>
      <c r="H60" s="89">
        <f>1/3/12</f>
        <v>2.7777777777777776E-2</v>
      </c>
      <c r="I60" s="68">
        <f>$H$20*H60</f>
        <v>0</v>
      </c>
      <c r="J60" s="89">
        <f>1/3/12</f>
        <v>2.7777777777777776E-2</v>
      </c>
      <c r="K60" s="68">
        <f>$J$20*J60</f>
        <v>0</v>
      </c>
      <c r="L60" s="89">
        <f>1/3/12</f>
        <v>2.7777777777777776E-2</v>
      </c>
      <c r="M60" s="68">
        <f>$L$20*L60</f>
        <v>0</v>
      </c>
    </row>
    <row r="61" spans="1:13" x14ac:dyDescent="0.3">
      <c r="A61" s="183" t="s">
        <v>69</v>
      </c>
      <c r="B61" s="184"/>
      <c r="C61" s="184"/>
      <c r="D61" s="184"/>
      <c r="E61" s="184"/>
      <c r="F61" s="184"/>
      <c r="G61" s="185"/>
      <c r="H61" s="69">
        <f t="shared" ref="H61:M61" si="4">SUM(H59:H60)</f>
        <v>0.1111111111111111</v>
      </c>
      <c r="I61" s="70">
        <f t="shared" si="4"/>
        <v>0</v>
      </c>
      <c r="J61" s="69">
        <f t="shared" si="4"/>
        <v>0.1111111111111111</v>
      </c>
      <c r="K61" s="70">
        <f t="shared" si="4"/>
        <v>0</v>
      </c>
      <c r="L61" s="69">
        <f t="shared" si="4"/>
        <v>0.1111111111111111</v>
      </c>
      <c r="M61" s="70">
        <f t="shared" si="4"/>
        <v>0</v>
      </c>
    </row>
    <row r="62" spans="1:13" x14ac:dyDescent="0.3">
      <c r="A62" s="38" t="s">
        <v>62</v>
      </c>
      <c r="B62" s="208" t="s">
        <v>110</v>
      </c>
      <c r="C62" s="209"/>
      <c r="D62" s="209"/>
      <c r="E62" s="209"/>
      <c r="F62" s="209"/>
      <c r="G62" s="210"/>
      <c r="H62" s="29">
        <f>H55*H61</f>
        <v>4.0888888888888898E-2</v>
      </c>
      <c r="I62" s="30">
        <f>$H$20*H62</f>
        <v>0</v>
      </c>
      <c r="J62" s="29">
        <f>J55*J61</f>
        <v>4.0888888888888898E-2</v>
      </c>
      <c r="K62" s="30">
        <f>$J$20*J62</f>
        <v>0</v>
      </c>
      <c r="L62" s="29">
        <f>L55*L61</f>
        <v>4.0888888888888898E-2</v>
      </c>
      <c r="M62" s="30">
        <f>$L$20*L62</f>
        <v>0</v>
      </c>
    </row>
    <row r="63" spans="1:13" x14ac:dyDescent="0.3">
      <c r="A63" s="176" t="s">
        <v>72</v>
      </c>
      <c r="B63" s="177"/>
      <c r="C63" s="177"/>
      <c r="D63" s="177"/>
      <c r="E63" s="177"/>
      <c r="F63" s="177"/>
      <c r="G63" s="178"/>
      <c r="H63" s="58">
        <f>H61+H62</f>
        <v>0.152</v>
      </c>
      <c r="I63" s="59">
        <f>SUM(I61:I62)</f>
        <v>0</v>
      </c>
      <c r="J63" s="58">
        <f>J61+J62</f>
        <v>0.152</v>
      </c>
      <c r="K63" s="59">
        <f>SUM(K61:K62)</f>
        <v>0</v>
      </c>
      <c r="L63" s="58">
        <f>L61+L62</f>
        <v>0.152</v>
      </c>
      <c r="M63" s="59">
        <f>SUM(M61:M62)</f>
        <v>0</v>
      </c>
    </row>
    <row r="64" spans="1:13" ht="7.5" customHeight="1" x14ac:dyDescent="0.3">
      <c r="A64" s="52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4"/>
    </row>
    <row r="65" spans="1:13" ht="36.75" customHeight="1" x14ac:dyDescent="0.3">
      <c r="A65" s="33" t="s">
        <v>111</v>
      </c>
      <c r="B65" s="162" t="s">
        <v>112</v>
      </c>
      <c r="C65" s="162"/>
      <c r="D65" s="162"/>
      <c r="E65" s="162"/>
      <c r="F65" s="162"/>
      <c r="G65" s="162"/>
      <c r="H65" s="162" t="s">
        <v>42</v>
      </c>
      <c r="I65" s="162"/>
      <c r="J65" s="162" t="s">
        <v>43</v>
      </c>
      <c r="K65" s="162"/>
      <c r="L65" s="162" t="s">
        <v>44</v>
      </c>
      <c r="M65" s="162"/>
    </row>
    <row r="66" spans="1:13" x14ac:dyDescent="0.3">
      <c r="A66" s="164" t="s">
        <v>113</v>
      </c>
      <c r="B66" s="203"/>
      <c r="C66" s="203"/>
      <c r="D66" s="203"/>
      <c r="E66" s="203"/>
      <c r="F66" s="203"/>
      <c r="G66" s="204"/>
      <c r="H66" s="34" t="s">
        <v>52</v>
      </c>
      <c r="I66" s="34" t="s">
        <v>53</v>
      </c>
      <c r="J66" s="34" t="s">
        <v>52</v>
      </c>
      <c r="K66" s="34" t="s">
        <v>53</v>
      </c>
      <c r="L66" s="34" t="s">
        <v>52</v>
      </c>
      <c r="M66" s="34" t="s">
        <v>53</v>
      </c>
    </row>
    <row r="67" spans="1:13" x14ac:dyDescent="0.3">
      <c r="A67" s="60" t="s">
        <v>58</v>
      </c>
      <c r="B67" s="206" t="s">
        <v>114</v>
      </c>
      <c r="C67" s="206"/>
      <c r="D67" s="206"/>
      <c r="E67" s="206"/>
      <c r="F67" s="206"/>
      <c r="G67" s="206"/>
      <c r="H67" s="78">
        <f>H61*1.95/100*4/12</f>
        <v>7.2222222222222219E-4</v>
      </c>
      <c r="I67" s="62">
        <f>$H$20*H67</f>
        <v>0</v>
      </c>
      <c r="J67" s="78">
        <f>J61*1.95/100*4/12</f>
        <v>7.2222222222222219E-4</v>
      </c>
      <c r="K67" s="62">
        <f>$J$20*J67</f>
        <v>0</v>
      </c>
      <c r="L67" s="78">
        <f>L61*1.95/100*4/12</f>
        <v>7.2222222222222219E-4</v>
      </c>
      <c r="M67" s="62">
        <f>$L$20*L67</f>
        <v>0</v>
      </c>
    </row>
    <row r="68" spans="1:13" ht="27" customHeight="1" x14ac:dyDescent="0.3">
      <c r="A68" s="51" t="s">
        <v>60</v>
      </c>
      <c r="B68" s="212" t="s">
        <v>115</v>
      </c>
      <c r="C68" s="212"/>
      <c r="D68" s="212"/>
      <c r="E68" s="212"/>
      <c r="F68" s="212"/>
      <c r="G68" s="212"/>
      <c r="H68" s="89">
        <f>H61*1.95/100*2/12</f>
        <v>3.6111111111111109E-4</v>
      </c>
      <c r="I68" s="68">
        <f>$H$20*H68</f>
        <v>0</v>
      </c>
      <c r="J68" s="89">
        <f>J61*1.95/100*2/12</f>
        <v>3.6111111111111109E-4</v>
      </c>
      <c r="K68" s="68">
        <f>$J$20*J68</f>
        <v>0</v>
      </c>
      <c r="L68" s="89">
        <f>L61*1.95/100*2/12</f>
        <v>3.6111111111111109E-4</v>
      </c>
      <c r="M68" s="68">
        <f>$L$20*L68</f>
        <v>0</v>
      </c>
    </row>
    <row r="69" spans="1:13" x14ac:dyDescent="0.3">
      <c r="A69" s="183" t="s">
        <v>116</v>
      </c>
      <c r="B69" s="184"/>
      <c r="C69" s="184"/>
      <c r="D69" s="184"/>
      <c r="E69" s="184"/>
      <c r="F69" s="184"/>
      <c r="G69" s="185"/>
      <c r="H69" s="69">
        <f t="shared" ref="H69:M69" si="5">SUM(H67:H68)</f>
        <v>1.0833333333333333E-3</v>
      </c>
      <c r="I69" s="70">
        <f t="shared" si="5"/>
        <v>0</v>
      </c>
      <c r="J69" s="69">
        <f t="shared" si="5"/>
        <v>1.0833333333333333E-3</v>
      </c>
      <c r="K69" s="70">
        <f t="shared" si="5"/>
        <v>0</v>
      </c>
      <c r="L69" s="69">
        <f t="shared" si="5"/>
        <v>1.0833333333333333E-3</v>
      </c>
      <c r="M69" s="70">
        <f t="shared" si="5"/>
        <v>0</v>
      </c>
    </row>
    <row r="70" spans="1:13" x14ac:dyDescent="0.3">
      <c r="A70" s="38" t="s">
        <v>62</v>
      </c>
      <c r="B70" s="208" t="s">
        <v>117</v>
      </c>
      <c r="C70" s="209"/>
      <c r="D70" s="209"/>
      <c r="E70" s="209"/>
      <c r="F70" s="209"/>
      <c r="G70" s="210"/>
      <c r="H70" s="29">
        <f>H55*H69</f>
        <v>3.9866666666666674E-4</v>
      </c>
      <c r="I70" s="30">
        <f>$H$20*H70</f>
        <v>0</v>
      </c>
      <c r="J70" s="29">
        <f>J55*J69</f>
        <v>3.9866666666666674E-4</v>
      </c>
      <c r="K70" s="30">
        <f>$J$20*J70</f>
        <v>0</v>
      </c>
      <c r="L70" s="29">
        <f>L55*L69</f>
        <v>3.9866666666666674E-4</v>
      </c>
      <c r="M70" s="30">
        <f>$L$20*L70</f>
        <v>0</v>
      </c>
    </row>
    <row r="71" spans="1:13" x14ac:dyDescent="0.3">
      <c r="A71" s="183" t="s">
        <v>118</v>
      </c>
      <c r="B71" s="184"/>
      <c r="C71" s="184"/>
      <c r="D71" s="184"/>
      <c r="E71" s="184"/>
      <c r="F71" s="184"/>
      <c r="G71" s="185"/>
      <c r="H71" s="69">
        <f t="shared" ref="H71:M71" si="6">SUM(H69:H70)</f>
        <v>1.482E-3</v>
      </c>
      <c r="I71" s="70">
        <f t="shared" si="6"/>
        <v>0</v>
      </c>
      <c r="J71" s="69">
        <f t="shared" si="6"/>
        <v>1.482E-3</v>
      </c>
      <c r="K71" s="70">
        <f t="shared" si="6"/>
        <v>0</v>
      </c>
      <c r="L71" s="69">
        <f t="shared" si="6"/>
        <v>1.482E-3</v>
      </c>
      <c r="M71" s="70">
        <f t="shared" si="6"/>
        <v>0</v>
      </c>
    </row>
    <row r="72" spans="1:13" x14ac:dyDescent="0.3">
      <c r="A72" s="37" t="s">
        <v>64</v>
      </c>
      <c r="B72" s="187" t="s">
        <v>119</v>
      </c>
      <c r="C72" s="188"/>
      <c r="D72" s="188"/>
      <c r="E72" s="188"/>
      <c r="F72" s="189"/>
      <c r="G72" s="55">
        <v>0.1</v>
      </c>
      <c r="H72" s="29">
        <f t="shared" ref="H72:M72" si="7">$G$72*H71</f>
        <v>1.4820000000000002E-4</v>
      </c>
      <c r="I72" s="56">
        <f t="shared" si="7"/>
        <v>0</v>
      </c>
      <c r="J72" s="29">
        <f t="shared" si="7"/>
        <v>1.4820000000000002E-4</v>
      </c>
      <c r="K72" s="56">
        <f t="shared" si="7"/>
        <v>0</v>
      </c>
      <c r="L72" s="29">
        <f t="shared" si="7"/>
        <v>1.4820000000000002E-4</v>
      </c>
      <c r="M72" s="56">
        <f t="shared" si="7"/>
        <v>0</v>
      </c>
    </row>
    <row r="73" spans="1:13" x14ac:dyDescent="0.3">
      <c r="A73" s="176" t="s">
        <v>72</v>
      </c>
      <c r="B73" s="177"/>
      <c r="C73" s="177"/>
      <c r="D73" s="177"/>
      <c r="E73" s="177"/>
      <c r="F73" s="177"/>
      <c r="G73" s="178"/>
      <c r="H73" s="58">
        <f t="shared" ref="H73:M73" si="8">SUM(H71:H72)</f>
        <v>1.6302000000000001E-3</v>
      </c>
      <c r="I73" s="71">
        <f t="shared" si="8"/>
        <v>0</v>
      </c>
      <c r="J73" s="58">
        <f t="shared" si="8"/>
        <v>1.6302000000000001E-3</v>
      </c>
      <c r="K73" s="71">
        <f t="shared" si="8"/>
        <v>0</v>
      </c>
      <c r="L73" s="58">
        <f t="shared" si="8"/>
        <v>1.6302000000000001E-3</v>
      </c>
      <c r="M73" s="71">
        <f t="shared" si="8"/>
        <v>0</v>
      </c>
    </row>
    <row r="74" spans="1:13" ht="7.5" customHeight="1" x14ac:dyDescent="0.3">
      <c r="A74" s="52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4"/>
    </row>
    <row r="75" spans="1:13" ht="28.5" customHeight="1" x14ac:dyDescent="0.3">
      <c r="A75" s="33" t="s">
        <v>120</v>
      </c>
      <c r="B75" s="162" t="s">
        <v>121</v>
      </c>
      <c r="C75" s="162"/>
      <c r="D75" s="162"/>
      <c r="E75" s="162"/>
      <c r="F75" s="162"/>
      <c r="G75" s="162"/>
      <c r="H75" s="162" t="s">
        <v>42</v>
      </c>
      <c r="I75" s="162"/>
      <c r="J75" s="162" t="s">
        <v>43</v>
      </c>
      <c r="K75" s="162"/>
      <c r="L75" s="162" t="s">
        <v>44</v>
      </c>
      <c r="M75" s="162"/>
    </row>
    <row r="76" spans="1:13" x14ac:dyDescent="0.3">
      <c r="A76" s="164" t="s">
        <v>122</v>
      </c>
      <c r="B76" s="203"/>
      <c r="C76" s="203"/>
      <c r="D76" s="203"/>
      <c r="E76" s="203"/>
      <c r="F76" s="203"/>
      <c r="G76" s="204"/>
      <c r="H76" s="34" t="s">
        <v>52</v>
      </c>
      <c r="I76" s="34" t="s">
        <v>53</v>
      </c>
      <c r="J76" s="34" t="s">
        <v>52</v>
      </c>
      <c r="K76" s="34" t="s">
        <v>53</v>
      </c>
      <c r="L76" s="34" t="s">
        <v>52</v>
      </c>
      <c r="M76" s="34" t="s">
        <v>53</v>
      </c>
    </row>
    <row r="77" spans="1:13" x14ac:dyDescent="0.3">
      <c r="A77" s="60" t="s">
        <v>58</v>
      </c>
      <c r="B77" s="211" t="s">
        <v>123</v>
      </c>
      <c r="C77" s="211"/>
      <c r="D77" s="211"/>
      <c r="E77" s="211"/>
      <c r="F77" s="211"/>
      <c r="G77" s="211"/>
      <c r="H77" s="78">
        <f>5/100*1/12</f>
        <v>4.1666666666666666E-3</v>
      </c>
      <c r="I77" s="62">
        <f t="shared" ref="I77:I90" si="9">$H$20*H77</f>
        <v>0</v>
      </c>
      <c r="J77" s="78">
        <f>5/100*1/12</f>
        <v>4.1666666666666666E-3</v>
      </c>
      <c r="K77" s="62">
        <f>$J$20*J77</f>
        <v>0</v>
      </c>
      <c r="L77" s="78">
        <f>5/100*1/12</f>
        <v>4.1666666666666666E-3</v>
      </c>
      <c r="M77" s="62">
        <f t="shared" ref="M77:M90" si="10">$L$20*L77</f>
        <v>0</v>
      </c>
    </row>
    <row r="78" spans="1:13" ht="27" customHeight="1" x14ac:dyDescent="0.3">
      <c r="A78" s="51" t="s">
        <v>60</v>
      </c>
      <c r="B78" s="212" t="s">
        <v>124</v>
      </c>
      <c r="C78" s="212"/>
      <c r="D78" s="212"/>
      <c r="E78" s="212"/>
      <c r="F78" s="212"/>
      <c r="G78" s="212"/>
      <c r="H78" s="90">
        <f>1/12*H77</f>
        <v>3.4722222222222218E-4</v>
      </c>
      <c r="I78" s="68">
        <f t="shared" si="9"/>
        <v>0</v>
      </c>
      <c r="J78" s="90">
        <f>1/12*J77</f>
        <v>3.4722222222222218E-4</v>
      </c>
      <c r="K78" s="68">
        <f>$J$20*J78</f>
        <v>0</v>
      </c>
      <c r="L78" s="89">
        <f>1/12*L77</f>
        <v>3.4722222222222218E-4</v>
      </c>
      <c r="M78" s="68">
        <f t="shared" si="10"/>
        <v>0</v>
      </c>
    </row>
    <row r="79" spans="1:13" x14ac:dyDescent="0.3">
      <c r="A79" s="183" t="s">
        <v>116</v>
      </c>
      <c r="B79" s="184"/>
      <c r="C79" s="184"/>
      <c r="D79" s="184"/>
      <c r="E79" s="184"/>
      <c r="F79" s="184"/>
      <c r="G79" s="185"/>
      <c r="H79" s="69">
        <f t="shared" ref="H79:M79" si="11">SUM(H77:H78)</f>
        <v>4.5138888888888885E-3</v>
      </c>
      <c r="I79" s="70">
        <f t="shared" si="11"/>
        <v>0</v>
      </c>
      <c r="J79" s="69">
        <f t="shared" si="11"/>
        <v>4.5138888888888885E-3</v>
      </c>
      <c r="K79" s="70">
        <f t="shared" si="11"/>
        <v>0</v>
      </c>
      <c r="L79" s="69">
        <f t="shared" si="11"/>
        <v>4.5138888888888885E-3</v>
      </c>
      <c r="M79" s="70">
        <f t="shared" si="11"/>
        <v>0</v>
      </c>
    </row>
    <row r="80" spans="1:13" x14ac:dyDescent="0.3">
      <c r="A80" s="60" t="s">
        <v>62</v>
      </c>
      <c r="B80" s="211" t="s">
        <v>125</v>
      </c>
      <c r="C80" s="211"/>
      <c r="D80" s="211"/>
      <c r="E80" s="211"/>
      <c r="F80" s="211"/>
      <c r="G80" s="211"/>
      <c r="H80" s="78">
        <f>H52*H79</f>
        <v>3.6111111111111109E-4</v>
      </c>
      <c r="I80" s="62">
        <f t="shared" si="9"/>
        <v>0</v>
      </c>
      <c r="J80" s="78">
        <f>J52*J79</f>
        <v>3.6111111111111109E-4</v>
      </c>
      <c r="K80" s="62">
        <f>$J$20*J80</f>
        <v>0</v>
      </c>
      <c r="L80" s="78">
        <f>L52*L79</f>
        <v>3.6111111111111109E-4</v>
      </c>
      <c r="M80" s="62">
        <f t="shared" si="10"/>
        <v>0</v>
      </c>
    </row>
    <row r="81" spans="1:13" x14ac:dyDescent="0.3">
      <c r="A81" s="63" t="s">
        <v>64</v>
      </c>
      <c r="B81" s="213" t="s">
        <v>126</v>
      </c>
      <c r="C81" s="213"/>
      <c r="D81" s="213"/>
      <c r="E81" s="213"/>
      <c r="F81" s="213"/>
      <c r="G81" s="213"/>
      <c r="H81" s="79">
        <f>40/100*H80</f>
        <v>1.4444444444444444E-4</v>
      </c>
      <c r="I81" s="65">
        <f t="shared" si="9"/>
        <v>0</v>
      </c>
      <c r="J81" s="79">
        <f>40/100*J80</f>
        <v>1.4444444444444444E-4</v>
      </c>
      <c r="K81" s="65">
        <f>$J$20*J81</f>
        <v>0</v>
      </c>
      <c r="L81" s="79">
        <f>40/100*L80</f>
        <v>1.4444444444444444E-4</v>
      </c>
      <c r="M81" s="65">
        <f t="shared" si="10"/>
        <v>0</v>
      </c>
    </row>
    <row r="82" spans="1:13" ht="27" customHeight="1" x14ac:dyDescent="0.3">
      <c r="A82" s="51" t="s">
        <v>67</v>
      </c>
      <c r="B82" s="214" t="s">
        <v>127</v>
      </c>
      <c r="C82" s="214"/>
      <c r="D82" s="214"/>
      <c r="E82" s="214"/>
      <c r="F82" s="214"/>
      <c r="G82" s="214"/>
      <c r="H82" s="89">
        <f>10/100*H80</f>
        <v>3.6111111111111109E-5</v>
      </c>
      <c r="I82" s="68">
        <f t="shared" si="9"/>
        <v>0</v>
      </c>
      <c r="J82" s="89">
        <f>10/100*J80</f>
        <v>3.6111111111111109E-5</v>
      </c>
      <c r="K82" s="68">
        <f>$J$20*J82</f>
        <v>0</v>
      </c>
      <c r="L82" s="89">
        <f>10/100*L80</f>
        <v>3.6111111111111109E-5</v>
      </c>
      <c r="M82" s="68">
        <f t="shared" si="10"/>
        <v>0</v>
      </c>
    </row>
    <row r="83" spans="1:13" x14ac:dyDescent="0.3">
      <c r="A83" s="183" t="s">
        <v>128</v>
      </c>
      <c r="B83" s="184"/>
      <c r="C83" s="184"/>
      <c r="D83" s="184"/>
      <c r="E83" s="184"/>
      <c r="F83" s="184"/>
      <c r="G83" s="185"/>
      <c r="H83" s="69">
        <f t="shared" ref="H83:M83" si="12">SUM(H79:H82)</f>
        <v>5.0555555555555545E-3</v>
      </c>
      <c r="I83" s="70">
        <f t="shared" si="12"/>
        <v>0</v>
      </c>
      <c r="J83" s="69">
        <f t="shared" si="12"/>
        <v>5.0555555555555545E-3</v>
      </c>
      <c r="K83" s="70">
        <f t="shared" si="12"/>
        <v>0</v>
      </c>
      <c r="L83" s="69">
        <f t="shared" si="12"/>
        <v>5.0555555555555545E-3</v>
      </c>
      <c r="M83" s="70">
        <f t="shared" si="12"/>
        <v>0</v>
      </c>
    </row>
    <row r="84" spans="1:13" x14ac:dyDescent="0.3">
      <c r="A84" s="60" t="s">
        <v>70</v>
      </c>
      <c r="B84" s="211" t="s">
        <v>129</v>
      </c>
      <c r="C84" s="211"/>
      <c r="D84" s="211"/>
      <c r="E84" s="211"/>
      <c r="F84" s="211"/>
      <c r="G84" s="211"/>
      <c r="H84" s="78">
        <f>7/30/12</f>
        <v>1.9444444444444445E-2</v>
      </c>
      <c r="I84" s="62">
        <f t="shared" si="9"/>
        <v>0</v>
      </c>
      <c r="J84" s="78">
        <f>7/30/12</f>
        <v>1.9444444444444445E-2</v>
      </c>
      <c r="K84" s="62">
        <f>$J$20*J84</f>
        <v>0</v>
      </c>
      <c r="L84" s="78">
        <f>7/30/12</f>
        <v>1.9444444444444445E-2</v>
      </c>
      <c r="M84" s="62">
        <f t="shared" si="10"/>
        <v>0</v>
      </c>
    </row>
    <row r="85" spans="1:13" ht="27" customHeight="1" x14ac:dyDescent="0.3">
      <c r="A85" s="63" t="s">
        <v>82</v>
      </c>
      <c r="B85" s="155" t="s">
        <v>130</v>
      </c>
      <c r="C85" s="155"/>
      <c r="D85" s="155"/>
      <c r="E85" s="155"/>
      <c r="F85" s="155"/>
      <c r="G85" s="155"/>
      <c r="H85" s="79">
        <f>H55*H84</f>
        <v>7.1555555555555574E-3</v>
      </c>
      <c r="I85" s="65">
        <f t="shared" si="9"/>
        <v>0</v>
      </c>
      <c r="J85" s="79">
        <f>J55*J84</f>
        <v>7.1555555555555574E-3</v>
      </c>
      <c r="K85" s="65">
        <f>$J$20*J85</f>
        <v>0</v>
      </c>
      <c r="L85" s="79">
        <f>L55*L84</f>
        <v>7.1555555555555574E-3</v>
      </c>
      <c r="M85" s="65">
        <f t="shared" si="10"/>
        <v>0</v>
      </c>
    </row>
    <row r="86" spans="1:13" x14ac:dyDescent="0.3">
      <c r="A86" s="63" t="s">
        <v>84</v>
      </c>
      <c r="B86" s="213" t="s">
        <v>131</v>
      </c>
      <c r="C86" s="213"/>
      <c r="D86" s="213"/>
      <c r="E86" s="213"/>
      <c r="F86" s="213"/>
      <c r="G86" s="213"/>
      <c r="H86" s="79">
        <f>40/100*H52*H84</f>
        <v>6.2222222222222225E-4</v>
      </c>
      <c r="I86" s="65">
        <f t="shared" si="9"/>
        <v>0</v>
      </c>
      <c r="J86" s="79">
        <f>40/100*J52*J84</f>
        <v>6.2222222222222225E-4</v>
      </c>
      <c r="K86" s="65">
        <f>$J$20*J86</f>
        <v>0</v>
      </c>
      <c r="L86" s="79">
        <f>40/100*L52*L84</f>
        <v>6.2222222222222225E-4</v>
      </c>
      <c r="M86" s="65">
        <f t="shared" si="10"/>
        <v>0</v>
      </c>
    </row>
    <row r="87" spans="1:13" x14ac:dyDescent="0.3">
      <c r="A87" s="51" t="s">
        <v>55</v>
      </c>
      <c r="B87" s="214" t="s">
        <v>132</v>
      </c>
      <c r="C87" s="214"/>
      <c r="D87" s="214"/>
      <c r="E87" s="214"/>
      <c r="F87" s="214"/>
      <c r="G87" s="214"/>
      <c r="H87" s="89">
        <f>10/100*H52*H84</f>
        <v>1.5555555555555556E-4</v>
      </c>
      <c r="I87" s="68">
        <f t="shared" si="9"/>
        <v>0</v>
      </c>
      <c r="J87" s="89">
        <f>10/100*J52*J84</f>
        <v>1.5555555555555556E-4</v>
      </c>
      <c r="K87" s="68">
        <f>$J$20*J87</f>
        <v>0</v>
      </c>
      <c r="L87" s="89">
        <f>10/100*L52*L84</f>
        <v>1.5555555555555556E-4</v>
      </c>
      <c r="M87" s="68">
        <f t="shared" si="10"/>
        <v>0</v>
      </c>
    </row>
    <row r="88" spans="1:13" x14ac:dyDescent="0.3">
      <c r="A88" s="183" t="s">
        <v>118</v>
      </c>
      <c r="B88" s="184"/>
      <c r="C88" s="184"/>
      <c r="D88" s="184"/>
      <c r="E88" s="184"/>
      <c r="F88" s="184"/>
      <c r="G88" s="185"/>
      <c r="H88" s="69">
        <f t="shared" ref="H88:M88" si="13">SUM(H84:H87)</f>
        <v>2.7377777777777779E-2</v>
      </c>
      <c r="I88" s="72">
        <f t="shared" si="13"/>
        <v>0</v>
      </c>
      <c r="J88" s="69">
        <f t="shared" si="13"/>
        <v>2.7377777777777779E-2</v>
      </c>
      <c r="K88" s="72">
        <f t="shared" si="13"/>
        <v>0</v>
      </c>
      <c r="L88" s="69">
        <f t="shared" si="13"/>
        <v>2.7377777777777779E-2</v>
      </c>
      <c r="M88" s="72">
        <f t="shared" si="13"/>
        <v>0</v>
      </c>
    </row>
    <row r="89" spans="1:13" x14ac:dyDescent="0.3">
      <c r="A89" s="60" t="s">
        <v>133</v>
      </c>
      <c r="B89" s="211" t="s">
        <v>134</v>
      </c>
      <c r="C89" s="211"/>
      <c r="D89" s="211"/>
      <c r="E89" s="211"/>
      <c r="F89" s="211"/>
      <c r="G89" s="211"/>
      <c r="H89" s="78">
        <v>0.05</v>
      </c>
      <c r="I89" s="62">
        <f t="shared" si="9"/>
        <v>0</v>
      </c>
      <c r="J89" s="78">
        <v>0.05</v>
      </c>
      <c r="K89" s="62">
        <f>$J$20*J89</f>
        <v>0</v>
      </c>
      <c r="L89" s="78">
        <v>0.05</v>
      </c>
      <c r="M89" s="62">
        <f t="shared" si="10"/>
        <v>0</v>
      </c>
    </row>
    <row r="90" spans="1:13" x14ac:dyDescent="0.3">
      <c r="A90" s="51" t="s">
        <v>135</v>
      </c>
      <c r="B90" s="214" t="s">
        <v>136</v>
      </c>
      <c r="C90" s="214"/>
      <c r="D90" s="214"/>
      <c r="E90" s="214"/>
      <c r="F90" s="214"/>
      <c r="G90" s="214"/>
      <c r="H90" s="89">
        <f>100/100*10/100*H52</f>
        <v>8.0000000000000002E-3</v>
      </c>
      <c r="I90" s="68">
        <f t="shared" si="9"/>
        <v>0</v>
      </c>
      <c r="J90" s="89">
        <f>100/100*10/100*J52</f>
        <v>8.0000000000000002E-3</v>
      </c>
      <c r="K90" s="68">
        <f>$J$20*J90</f>
        <v>0</v>
      </c>
      <c r="L90" s="89">
        <f>100/100*10/100*L52</f>
        <v>8.0000000000000002E-3</v>
      </c>
      <c r="M90" s="68">
        <f t="shared" si="10"/>
        <v>0</v>
      </c>
    </row>
    <row r="91" spans="1:13" x14ac:dyDescent="0.3">
      <c r="A91" s="183" t="s">
        <v>137</v>
      </c>
      <c r="B91" s="184"/>
      <c r="C91" s="184"/>
      <c r="D91" s="184"/>
      <c r="E91" s="184"/>
      <c r="F91" s="184"/>
      <c r="G91" s="185"/>
      <c r="H91" s="69">
        <f t="shared" ref="H91:M91" si="14">SUM(H89:H90)</f>
        <v>5.8000000000000003E-2</v>
      </c>
      <c r="I91" s="70">
        <f t="shared" si="14"/>
        <v>0</v>
      </c>
      <c r="J91" s="69">
        <f t="shared" si="14"/>
        <v>5.8000000000000003E-2</v>
      </c>
      <c r="K91" s="70">
        <f t="shared" si="14"/>
        <v>0</v>
      </c>
      <c r="L91" s="69">
        <f t="shared" si="14"/>
        <v>5.8000000000000003E-2</v>
      </c>
      <c r="M91" s="70">
        <f t="shared" si="14"/>
        <v>0</v>
      </c>
    </row>
    <row r="92" spans="1:13" x14ac:dyDescent="0.3">
      <c r="A92" s="183" t="s">
        <v>138</v>
      </c>
      <c r="B92" s="184"/>
      <c r="C92" s="184"/>
      <c r="D92" s="184"/>
      <c r="E92" s="184"/>
      <c r="F92" s="184"/>
      <c r="G92" s="185"/>
      <c r="H92" s="73">
        <f t="shared" ref="H92:M92" si="15">SUM(H83,H88,H91)</f>
        <v>9.0433333333333338E-2</v>
      </c>
      <c r="I92" s="74">
        <f t="shared" si="15"/>
        <v>0</v>
      </c>
      <c r="J92" s="73">
        <f t="shared" si="15"/>
        <v>9.0433333333333338E-2</v>
      </c>
      <c r="K92" s="74">
        <f t="shared" si="15"/>
        <v>0</v>
      </c>
      <c r="L92" s="73">
        <f t="shared" si="15"/>
        <v>9.0433333333333338E-2</v>
      </c>
      <c r="M92" s="74">
        <f t="shared" si="15"/>
        <v>0</v>
      </c>
    </row>
    <row r="93" spans="1:13" x14ac:dyDescent="0.3">
      <c r="A93" s="37" t="s">
        <v>139</v>
      </c>
      <c r="B93" s="187" t="s">
        <v>119</v>
      </c>
      <c r="C93" s="188"/>
      <c r="D93" s="188"/>
      <c r="E93" s="188"/>
      <c r="F93" s="189"/>
      <c r="G93" s="47">
        <v>0.1</v>
      </c>
      <c r="H93" s="29">
        <f t="shared" ref="H93:M93" si="16">$G$93*H92</f>
        <v>9.0433333333333338E-3</v>
      </c>
      <c r="I93" s="56">
        <f t="shared" si="16"/>
        <v>0</v>
      </c>
      <c r="J93" s="29">
        <f t="shared" si="16"/>
        <v>9.0433333333333338E-3</v>
      </c>
      <c r="K93" s="56">
        <f t="shared" si="16"/>
        <v>0</v>
      </c>
      <c r="L93" s="29">
        <f t="shared" si="16"/>
        <v>9.0433333333333338E-3</v>
      </c>
      <c r="M93" s="56">
        <f t="shared" si="16"/>
        <v>0</v>
      </c>
    </row>
    <row r="94" spans="1:13" x14ac:dyDescent="0.3">
      <c r="A94" s="176" t="s">
        <v>72</v>
      </c>
      <c r="B94" s="177"/>
      <c r="C94" s="177"/>
      <c r="D94" s="177"/>
      <c r="E94" s="177"/>
      <c r="F94" s="177"/>
      <c r="G94" s="178"/>
      <c r="H94" s="58">
        <f t="shared" ref="H94:M94" si="17">SUM(H92,H93)</f>
        <v>9.9476666666666672E-2</v>
      </c>
      <c r="I94" s="71">
        <f t="shared" si="17"/>
        <v>0</v>
      </c>
      <c r="J94" s="58">
        <f t="shared" si="17"/>
        <v>9.9476666666666672E-2</v>
      </c>
      <c r="K94" s="71">
        <f t="shared" si="17"/>
        <v>0</v>
      </c>
      <c r="L94" s="58">
        <f t="shared" si="17"/>
        <v>9.9476666666666672E-2</v>
      </c>
      <c r="M94" s="71">
        <f t="shared" si="17"/>
        <v>0</v>
      </c>
    </row>
    <row r="95" spans="1:13" ht="7.5" customHeight="1" x14ac:dyDescent="0.3">
      <c r="A95" s="52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4"/>
    </row>
    <row r="96" spans="1:13" ht="30.75" customHeight="1" x14ac:dyDescent="0.3">
      <c r="A96" s="33" t="s">
        <v>140</v>
      </c>
      <c r="B96" s="162" t="s">
        <v>141</v>
      </c>
      <c r="C96" s="162"/>
      <c r="D96" s="162"/>
      <c r="E96" s="162"/>
      <c r="F96" s="162"/>
      <c r="G96" s="162"/>
      <c r="H96" s="162" t="s">
        <v>42</v>
      </c>
      <c r="I96" s="162"/>
      <c r="J96" s="162" t="s">
        <v>43</v>
      </c>
      <c r="K96" s="162"/>
      <c r="L96" s="162" t="s">
        <v>44</v>
      </c>
      <c r="M96" s="162"/>
    </row>
    <row r="97" spans="1:13" x14ac:dyDescent="0.3">
      <c r="A97" s="164" t="s">
        <v>142</v>
      </c>
      <c r="B97" s="203"/>
      <c r="C97" s="203"/>
      <c r="D97" s="203"/>
      <c r="E97" s="203"/>
      <c r="F97" s="203"/>
      <c r="G97" s="204"/>
      <c r="H97" s="34" t="s">
        <v>52</v>
      </c>
      <c r="I97" s="34" t="s">
        <v>53</v>
      </c>
      <c r="J97" s="34" t="s">
        <v>52</v>
      </c>
      <c r="K97" s="34" t="s">
        <v>53</v>
      </c>
      <c r="L97" s="34" t="s">
        <v>52</v>
      </c>
      <c r="M97" s="34" t="s">
        <v>53</v>
      </c>
    </row>
    <row r="98" spans="1:13" x14ac:dyDescent="0.3">
      <c r="A98" s="60" t="s">
        <v>58</v>
      </c>
      <c r="B98" s="215" t="s">
        <v>143</v>
      </c>
      <c r="C98" s="215"/>
      <c r="D98" s="215"/>
      <c r="E98" s="215"/>
      <c r="F98" s="215"/>
      <c r="G98" s="215"/>
      <c r="H98" s="78">
        <f>1/12</f>
        <v>8.3333333333333329E-2</v>
      </c>
      <c r="I98" s="85">
        <f t="shared" ref="I98:I103" si="18">$H$20*H98</f>
        <v>0</v>
      </c>
      <c r="J98" s="78">
        <f>1/12</f>
        <v>8.3333333333333329E-2</v>
      </c>
      <c r="K98" s="85">
        <f t="shared" ref="K98:K103" si="19">$J$20*J98</f>
        <v>0</v>
      </c>
      <c r="L98" s="78">
        <f>1/12</f>
        <v>8.3333333333333329E-2</v>
      </c>
      <c r="M98" s="85">
        <f t="shared" ref="M98:M103" si="20">$L$20*L98</f>
        <v>0</v>
      </c>
    </row>
    <row r="99" spans="1:13" x14ac:dyDescent="0.3">
      <c r="A99" s="63" t="s">
        <v>60</v>
      </c>
      <c r="B99" s="216" t="s">
        <v>144</v>
      </c>
      <c r="C99" s="216"/>
      <c r="D99" s="216"/>
      <c r="E99" s="216"/>
      <c r="F99" s="216"/>
      <c r="G99" s="216"/>
      <c r="H99" s="79">
        <f>5/30/12</f>
        <v>1.3888888888888888E-2</v>
      </c>
      <c r="I99" s="86">
        <f t="shared" si="18"/>
        <v>0</v>
      </c>
      <c r="J99" s="79">
        <f>5/30/12</f>
        <v>1.3888888888888888E-2</v>
      </c>
      <c r="K99" s="86">
        <f t="shared" si="19"/>
        <v>0</v>
      </c>
      <c r="L99" s="79">
        <f>5/30/12</f>
        <v>1.3888888888888888E-2</v>
      </c>
      <c r="M99" s="86">
        <f t="shared" si="20"/>
        <v>0</v>
      </c>
    </row>
    <row r="100" spans="1:13" x14ac:dyDescent="0.3">
      <c r="A100" s="63" t="s">
        <v>62</v>
      </c>
      <c r="B100" s="216" t="s">
        <v>145</v>
      </c>
      <c r="C100" s="216"/>
      <c r="D100" s="216"/>
      <c r="E100" s="216"/>
      <c r="F100" s="216"/>
      <c r="G100" s="216"/>
      <c r="H100" s="79">
        <f>5/30/12*1.5/100</f>
        <v>2.0833333333333332E-4</v>
      </c>
      <c r="I100" s="86">
        <f t="shared" si="18"/>
        <v>0</v>
      </c>
      <c r="J100" s="79">
        <f>5/30/12*1.5/100</f>
        <v>2.0833333333333332E-4</v>
      </c>
      <c r="K100" s="86">
        <f t="shared" si="19"/>
        <v>0</v>
      </c>
      <c r="L100" s="79">
        <f>5/30/12*1.5/100</f>
        <v>2.0833333333333332E-4</v>
      </c>
      <c r="M100" s="86">
        <f t="shared" si="20"/>
        <v>0</v>
      </c>
    </row>
    <row r="101" spans="1:13" x14ac:dyDescent="0.3">
      <c r="A101" s="63" t="s">
        <v>64</v>
      </c>
      <c r="B101" s="216" t="s">
        <v>146</v>
      </c>
      <c r="C101" s="216"/>
      <c r="D101" s="216"/>
      <c r="E101" s="216"/>
      <c r="F101" s="216"/>
      <c r="G101" s="216"/>
      <c r="H101" s="79">
        <f>1/30/12</f>
        <v>2.7777777777777779E-3</v>
      </c>
      <c r="I101" s="86">
        <f t="shared" si="18"/>
        <v>0</v>
      </c>
      <c r="J101" s="79">
        <f>1/30/12</f>
        <v>2.7777777777777779E-3</v>
      </c>
      <c r="K101" s="86">
        <f t="shared" si="19"/>
        <v>0</v>
      </c>
      <c r="L101" s="79">
        <f>1/30/12</f>
        <v>2.7777777777777779E-3</v>
      </c>
      <c r="M101" s="86">
        <f t="shared" si="20"/>
        <v>0</v>
      </c>
    </row>
    <row r="102" spans="1:13" x14ac:dyDescent="0.3">
      <c r="A102" s="63" t="s">
        <v>67</v>
      </c>
      <c r="B102" s="216" t="s">
        <v>147</v>
      </c>
      <c r="C102" s="216"/>
      <c r="D102" s="216"/>
      <c r="E102" s="216"/>
      <c r="F102" s="216"/>
      <c r="G102" s="216"/>
      <c r="H102" s="79">
        <f>15/30/12*8/100</f>
        <v>3.3333333333333331E-3</v>
      </c>
      <c r="I102" s="86">
        <f t="shared" si="18"/>
        <v>0</v>
      </c>
      <c r="J102" s="79">
        <f>15/30/12*8/100</f>
        <v>3.3333333333333331E-3</v>
      </c>
      <c r="K102" s="86">
        <f t="shared" si="19"/>
        <v>0</v>
      </c>
      <c r="L102" s="79">
        <f>15/30/12*8/100</f>
        <v>3.3333333333333331E-3</v>
      </c>
      <c r="M102" s="86">
        <f t="shared" si="20"/>
        <v>0</v>
      </c>
    </row>
    <row r="103" spans="1:13" x14ac:dyDescent="0.3">
      <c r="A103" s="63" t="s">
        <v>70</v>
      </c>
      <c r="B103" s="216" t="s">
        <v>148</v>
      </c>
      <c r="C103" s="216"/>
      <c r="D103" s="216"/>
      <c r="E103" s="216"/>
      <c r="F103" s="216"/>
      <c r="G103" s="216"/>
      <c r="H103" s="79">
        <v>7.3000000000000001E-3</v>
      </c>
      <c r="I103" s="86">
        <f t="shared" si="18"/>
        <v>0</v>
      </c>
      <c r="J103" s="79">
        <v>7.3000000000000001E-3</v>
      </c>
      <c r="K103" s="86">
        <f t="shared" si="19"/>
        <v>0</v>
      </c>
      <c r="L103" s="79">
        <v>7.3000000000000001E-3</v>
      </c>
      <c r="M103" s="86">
        <f t="shared" si="20"/>
        <v>0</v>
      </c>
    </row>
    <row r="104" spans="1:13" x14ac:dyDescent="0.3">
      <c r="A104" s="51" t="s">
        <v>82</v>
      </c>
      <c r="B104" s="199" t="s">
        <v>90</v>
      </c>
      <c r="C104" s="199"/>
      <c r="D104" s="199"/>
      <c r="E104" s="199"/>
      <c r="F104" s="199"/>
      <c r="G104" s="199"/>
      <c r="H104" s="80"/>
      <c r="I104" s="87"/>
      <c r="J104" s="80"/>
      <c r="K104" s="87"/>
      <c r="L104" s="88"/>
      <c r="M104" s="87"/>
    </row>
    <row r="105" spans="1:13" x14ac:dyDescent="0.3">
      <c r="A105" s="183" t="s">
        <v>116</v>
      </c>
      <c r="B105" s="184"/>
      <c r="C105" s="184"/>
      <c r="D105" s="184"/>
      <c r="E105" s="184"/>
      <c r="F105" s="184"/>
      <c r="G105" s="185"/>
      <c r="H105" s="69">
        <f t="shared" ref="H105:M105" si="21">SUM(H98:H104)</f>
        <v>0.11084166666666666</v>
      </c>
      <c r="I105" s="75">
        <f t="shared" si="21"/>
        <v>0</v>
      </c>
      <c r="J105" s="69">
        <f t="shared" si="21"/>
        <v>0.11084166666666666</v>
      </c>
      <c r="K105" s="75">
        <f t="shared" si="21"/>
        <v>0</v>
      </c>
      <c r="L105" s="69">
        <f t="shared" si="21"/>
        <v>0.11084166666666666</v>
      </c>
      <c r="M105" s="75">
        <f t="shared" si="21"/>
        <v>0</v>
      </c>
    </row>
    <row r="106" spans="1:13" x14ac:dyDescent="0.3">
      <c r="A106" s="38" t="s">
        <v>84</v>
      </c>
      <c r="B106" s="208" t="s">
        <v>149</v>
      </c>
      <c r="C106" s="209"/>
      <c r="D106" s="209"/>
      <c r="E106" s="209"/>
      <c r="F106" s="209"/>
      <c r="G106" s="210"/>
      <c r="H106" s="29">
        <f>H55*H105</f>
        <v>4.0789733333333342E-2</v>
      </c>
      <c r="I106" s="57">
        <f>I105*H55</f>
        <v>0</v>
      </c>
      <c r="J106" s="29">
        <f>J55*J105</f>
        <v>4.0789733333333342E-2</v>
      </c>
      <c r="K106" s="57">
        <f>K105*J55</f>
        <v>0</v>
      </c>
      <c r="L106" s="29">
        <f>L55*L105</f>
        <v>4.0789733333333342E-2</v>
      </c>
      <c r="M106" s="57">
        <f>M105*L55</f>
        <v>0</v>
      </c>
    </row>
    <row r="107" spans="1:13" x14ac:dyDescent="0.3">
      <c r="A107" s="183" t="s">
        <v>118</v>
      </c>
      <c r="B107" s="184"/>
      <c r="C107" s="184"/>
      <c r="D107" s="184"/>
      <c r="E107" s="184"/>
      <c r="F107" s="184"/>
      <c r="G107" s="185"/>
      <c r="H107" s="69">
        <f t="shared" ref="H107:M107" si="22">SUM(H105:H106)</f>
        <v>0.1516314</v>
      </c>
      <c r="I107" s="75">
        <f t="shared" si="22"/>
        <v>0</v>
      </c>
      <c r="J107" s="69">
        <f t="shared" si="22"/>
        <v>0.1516314</v>
      </c>
      <c r="K107" s="75">
        <f t="shared" si="22"/>
        <v>0</v>
      </c>
      <c r="L107" s="69">
        <f t="shared" si="22"/>
        <v>0.1516314</v>
      </c>
      <c r="M107" s="75">
        <f t="shared" si="22"/>
        <v>0</v>
      </c>
    </row>
    <row r="108" spans="1:13" x14ac:dyDescent="0.3">
      <c r="A108" s="37" t="s">
        <v>55</v>
      </c>
      <c r="B108" s="187" t="s">
        <v>119</v>
      </c>
      <c r="C108" s="188"/>
      <c r="D108" s="188"/>
      <c r="E108" s="188"/>
      <c r="F108" s="189"/>
      <c r="G108" s="47">
        <v>0.1</v>
      </c>
      <c r="H108" s="29">
        <f t="shared" ref="H108:M108" si="23">$G$108*H107</f>
        <v>1.516314E-2</v>
      </c>
      <c r="I108" s="56">
        <f t="shared" si="23"/>
        <v>0</v>
      </c>
      <c r="J108" s="29">
        <f t="shared" si="23"/>
        <v>1.516314E-2</v>
      </c>
      <c r="K108" s="56">
        <f t="shared" si="23"/>
        <v>0</v>
      </c>
      <c r="L108" s="29">
        <f t="shared" si="23"/>
        <v>1.516314E-2</v>
      </c>
      <c r="M108" s="56">
        <f t="shared" si="23"/>
        <v>0</v>
      </c>
    </row>
    <row r="109" spans="1:13" x14ac:dyDescent="0.3">
      <c r="A109" s="176" t="s">
        <v>72</v>
      </c>
      <c r="B109" s="177"/>
      <c r="C109" s="177"/>
      <c r="D109" s="177"/>
      <c r="E109" s="177"/>
      <c r="F109" s="177"/>
      <c r="G109" s="178"/>
      <c r="H109" s="76">
        <f t="shared" ref="H109:M109" si="24">SUM(H107:H108)</f>
        <v>0.16679453999999999</v>
      </c>
      <c r="I109" s="77">
        <f t="shared" si="24"/>
        <v>0</v>
      </c>
      <c r="J109" s="76">
        <f t="shared" si="24"/>
        <v>0.16679453999999999</v>
      </c>
      <c r="K109" s="77">
        <f t="shared" si="24"/>
        <v>0</v>
      </c>
      <c r="L109" s="76">
        <f t="shared" si="24"/>
        <v>0.16679453999999999</v>
      </c>
      <c r="M109" s="77">
        <f t="shared" si="24"/>
        <v>0</v>
      </c>
    </row>
    <row r="110" spans="1:13" ht="7.5" customHeight="1" x14ac:dyDescent="0.3">
      <c r="A110" s="52"/>
      <c r="B110" s="53"/>
      <c r="C110" s="53"/>
      <c r="D110" s="53"/>
      <c r="E110" s="53"/>
      <c r="F110" s="53"/>
      <c r="G110" s="53"/>
      <c r="H110" s="53"/>
      <c r="I110" s="53"/>
      <c r="J110" s="53"/>
      <c r="K110" s="53"/>
      <c r="L110" s="53"/>
      <c r="M110" s="54"/>
    </row>
    <row r="111" spans="1:13" ht="29.25" customHeight="1" x14ac:dyDescent="0.3">
      <c r="A111" s="33" t="str">
        <f>$A$42</f>
        <v>IV</v>
      </c>
      <c r="B111" s="162" t="str">
        <f>$B$42</f>
        <v>grupo IV</v>
      </c>
      <c r="C111" s="162"/>
      <c r="D111" s="162"/>
      <c r="E111" s="162"/>
      <c r="F111" s="162"/>
      <c r="G111" s="162"/>
      <c r="H111" s="162" t="str">
        <f>$H$45</f>
        <v>Professor</v>
      </c>
      <c r="I111" s="162"/>
      <c r="J111" s="162" t="s">
        <v>43</v>
      </c>
      <c r="K111" s="162"/>
      <c r="L111" s="162" t="str">
        <f>$L$45</f>
        <v>Coordenador de equipe</v>
      </c>
      <c r="M111" s="162"/>
    </row>
    <row r="112" spans="1:13" x14ac:dyDescent="0.3">
      <c r="A112" s="164" t="s">
        <v>150</v>
      </c>
      <c r="B112" s="203"/>
      <c r="C112" s="203"/>
      <c r="D112" s="203"/>
      <c r="E112" s="203"/>
      <c r="F112" s="203"/>
      <c r="G112" s="204"/>
      <c r="H112" s="34" t="str">
        <f>$H$46</f>
        <v>%</v>
      </c>
      <c r="I112" s="34" t="str">
        <f>$I$46</f>
        <v>valor (R$)</v>
      </c>
      <c r="J112" s="34" t="str">
        <f>$H$46</f>
        <v>%</v>
      </c>
      <c r="K112" s="34" t="str">
        <f>$I$46</f>
        <v>valor (R$)</v>
      </c>
      <c r="L112" s="34" t="str">
        <f>$L$46</f>
        <v>%</v>
      </c>
      <c r="M112" s="34" t="str">
        <f>$M$46</f>
        <v>valor (R$)</v>
      </c>
    </row>
    <row r="113" spans="1:13" x14ac:dyDescent="0.3">
      <c r="A113" s="60" t="str">
        <f>$A$45</f>
        <v>IV.1</v>
      </c>
      <c r="B113" s="215" t="str">
        <f>$A$46</f>
        <v>obrigações previdenciárias e fgts</v>
      </c>
      <c r="C113" s="215"/>
      <c r="D113" s="215"/>
      <c r="E113" s="215"/>
      <c r="F113" s="215"/>
      <c r="G113" s="215"/>
      <c r="H113" s="78">
        <f>$H$55</f>
        <v>0.3680000000000001</v>
      </c>
      <c r="I113" s="62">
        <f>$I$55</f>
        <v>0</v>
      </c>
      <c r="J113" s="78">
        <f>$H$55</f>
        <v>0.3680000000000001</v>
      </c>
      <c r="K113" s="62">
        <f>$I$55</f>
        <v>0</v>
      </c>
      <c r="L113" s="78">
        <f>$L$55</f>
        <v>0.3680000000000001</v>
      </c>
      <c r="M113" s="62">
        <f>$M$55</f>
        <v>0</v>
      </c>
    </row>
    <row r="114" spans="1:13" x14ac:dyDescent="0.3">
      <c r="A114" s="63" t="str">
        <f>$A$57</f>
        <v>IV.2</v>
      </c>
      <c r="B114" s="216" t="str">
        <f>$A$58</f>
        <v>13o. salário e abono de férias</v>
      </c>
      <c r="C114" s="216"/>
      <c r="D114" s="216"/>
      <c r="E114" s="216"/>
      <c r="F114" s="216"/>
      <c r="G114" s="216"/>
      <c r="H114" s="79">
        <f>$H$63</f>
        <v>0.152</v>
      </c>
      <c r="I114" s="65">
        <f>$I$63</f>
        <v>0</v>
      </c>
      <c r="J114" s="79">
        <f>$H$63</f>
        <v>0.152</v>
      </c>
      <c r="K114" s="65">
        <f>$I$63</f>
        <v>0</v>
      </c>
      <c r="L114" s="79">
        <f>$L$63</f>
        <v>0.152</v>
      </c>
      <c r="M114" s="65">
        <f>$M$63</f>
        <v>0</v>
      </c>
    </row>
    <row r="115" spans="1:13" x14ac:dyDescent="0.3">
      <c r="A115" s="63" t="str">
        <f>$A$65</f>
        <v>IV.3</v>
      </c>
      <c r="B115" s="216" t="str">
        <f>$A$66</f>
        <v>licença maternidade</v>
      </c>
      <c r="C115" s="216"/>
      <c r="D115" s="216"/>
      <c r="E115" s="216"/>
      <c r="F115" s="216"/>
      <c r="G115" s="216"/>
      <c r="H115" s="79">
        <f>$H$73</f>
        <v>1.6302000000000001E-3</v>
      </c>
      <c r="I115" s="65">
        <f>$I$73</f>
        <v>0</v>
      </c>
      <c r="J115" s="79">
        <f>$H$73</f>
        <v>1.6302000000000001E-3</v>
      </c>
      <c r="K115" s="65">
        <f>$I$73</f>
        <v>0</v>
      </c>
      <c r="L115" s="79">
        <f>$L$73</f>
        <v>1.6302000000000001E-3</v>
      </c>
      <c r="M115" s="65">
        <f>$M$73</f>
        <v>0</v>
      </c>
    </row>
    <row r="116" spans="1:13" x14ac:dyDescent="0.3">
      <c r="A116" s="63" t="str">
        <f>$A$75</f>
        <v>IV.4</v>
      </c>
      <c r="B116" s="216" t="str">
        <f>$A$76</f>
        <v>provisão para rescisão</v>
      </c>
      <c r="C116" s="216"/>
      <c r="D116" s="216"/>
      <c r="E116" s="216"/>
      <c r="F116" s="216"/>
      <c r="G116" s="216"/>
      <c r="H116" s="79">
        <f>$H$94</f>
        <v>9.9476666666666672E-2</v>
      </c>
      <c r="I116" s="65">
        <f>$I$94</f>
        <v>0</v>
      </c>
      <c r="J116" s="79">
        <f>$H$94</f>
        <v>9.9476666666666672E-2</v>
      </c>
      <c r="K116" s="65">
        <f>$I$94</f>
        <v>0</v>
      </c>
      <c r="L116" s="79">
        <f>$L$94</f>
        <v>9.9476666666666672E-2</v>
      </c>
      <c r="M116" s="65">
        <f>$M$94</f>
        <v>0</v>
      </c>
    </row>
    <row r="117" spans="1:13" x14ac:dyDescent="0.3">
      <c r="A117" s="63" t="str">
        <f>$A$96</f>
        <v>IV.5</v>
      </c>
      <c r="B117" s="216" t="str">
        <f>$A$97</f>
        <v>reposição profissional ausente</v>
      </c>
      <c r="C117" s="216"/>
      <c r="D117" s="216"/>
      <c r="E117" s="216"/>
      <c r="F117" s="216"/>
      <c r="G117" s="216"/>
      <c r="H117" s="79">
        <f>$H$109</f>
        <v>0.16679453999999999</v>
      </c>
      <c r="I117" s="65">
        <f>$I$109</f>
        <v>0</v>
      </c>
      <c r="J117" s="79">
        <f>$H$109</f>
        <v>0.16679453999999999</v>
      </c>
      <c r="K117" s="65">
        <f>$I$109</f>
        <v>0</v>
      </c>
      <c r="L117" s="79">
        <f>$L$109</f>
        <v>0.16679453999999999</v>
      </c>
      <c r="M117" s="65">
        <f>$M$109</f>
        <v>0</v>
      </c>
    </row>
    <row r="118" spans="1:13" x14ac:dyDescent="0.3">
      <c r="A118" s="51" t="s">
        <v>151</v>
      </c>
      <c r="B118" s="199" t="s">
        <v>90</v>
      </c>
      <c r="C118" s="199"/>
      <c r="D118" s="199"/>
      <c r="E118" s="199"/>
      <c r="F118" s="199"/>
      <c r="G118" s="199"/>
      <c r="H118" s="80"/>
      <c r="I118" s="81"/>
      <c r="J118" s="80"/>
      <c r="K118" s="81"/>
      <c r="L118" s="80"/>
      <c r="M118" s="81"/>
    </row>
    <row r="119" spans="1:13" x14ac:dyDescent="0.3">
      <c r="A119" s="176" t="s">
        <v>72</v>
      </c>
      <c r="B119" s="177"/>
      <c r="C119" s="177"/>
      <c r="D119" s="177"/>
      <c r="E119" s="177"/>
      <c r="F119" s="177"/>
      <c r="G119" s="178"/>
      <c r="H119" s="58">
        <f t="shared" ref="H119:M119" si="25">SUM(H111:H118)</f>
        <v>0.78790140666666675</v>
      </c>
      <c r="I119" s="59">
        <f t="shared" si="25"/>
        <v>0</v>
      </c>
      <c r="J119" s="58">
        <f t="shared" si="25"/>
        <v>0.78790140666666675</v>
      </c>
      <c r="K119" s="59">
        <f t="shared" si="25"/>
        <v>0</v>
      </c>
      <c r="L119" s="58">
        <f t="shared" si="25"/>
        <v>0.78790140666666675</v>
      </c>
      <c r="M119" s="59">
        <f t="shared" si="25"/>
        <v>0</v>
      </c>
    </row>
    <row r="120" spans="1:13" ht="7.5" customHeight="1" x14ac:dyDescent="0.3">
      <c r="A120" s="44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45"/>
    </row>
    <row r="121" spans="1:13" x14ac:dyDescent="0.3">
      <c r="A121" s="224" t="s">
        <v>152</v>
      </c>
      <c r="B121" s="224"/>
      <c r="C121" s="224"/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</row>
    <row r="122" spans="1:13" ht="30" x14ac:dyDescent="0.3">
      <c r="A122" s="91" t="s">
        <v>153</v>
      </c>
      <c r="B122" s="217" t="s">
        <v>41</v>
      </c>
      <c r="C122" s="218"/>
      <c r="D122" s="218"/>
      <c r="E122" s="218"/>
      <c r="F122" s="218"/>
      <c r="G122" s="219"/>
      <c r="H122" s="220" t="s">
        <v>42</v>
      </c>
      <c r="I122" s="221"/>
      <c r="J122" s="220" t="s">
        <v>43</v>
      </c>
      <c r="K122" s="221"/>
      <c r="L122" s="220" t="s">
        <v>44</v>
      </c>
      <c r="M122" s="221"/>
    </row>
    <row r="123" spans="1:13" x14ac:dyDescent="0.3">
      <c r="A123" s="82" t="str">
        <f>$A$11</f>
        <v>I</v>
      </c>
      <c r="B123" s="222" t="str">
        <f>$A$12</f>
        <v>composição da remuneração</v>
      </c>
      <c r="C123" s="222"/>
      <c r="D123" s="222"/>
      <c r="E123" s="222"/>
      <c r="F123" s="222"/>
      <c r="G123" s="222"/>
      <c r="H123" s="223">
        <f>$H$20</f>
        <v>0</v>
      </c>
      <c r="I123" s="223"/>
      <c r="J123" s="223">
        <f>$J$20</f>
        <v>0</v>
      </c>
      <c r="K123" s="223"/>
      <c r="L123" s="223">
        <f>$L$20</f>
        <v>0</v>
      </c>
      <c r="M123" s="223"/>
    </row>
    <row r="124" spans="1:13" x14ac:dyDescent="0.3">
      <c r="A124" s="83" t="str">
        <f>$A$22</f>
        <v>II</v>
      </c>
      <c r="B124" s="216" t="str">
        <f>$A$23</f>
        <v>benefícios mensais e diários</v>
      </c>
      <c r="C124" s="216"/>
      <c r="D124" s="216"/>
      <c r="E124" s="216"/>
      <c r="F124" s="216"/>
      <c r="G124" s="216"/>
      <c r="H124" s="235">
        <f>$H$34</f>
        <v>0</v>
      </c>
      <c r="I124" s="235"/>
      <c r="J124" s="235">
        <f>$H$34</f>
        <v>0</v>
      </c>
      <c r="K124" s="235"/>
      <c r="L124" s="235">
        <f>$L$34</f>
        <v>0</v>
      </c>
      <c r="M124" s="235"/>
    </row>
    <row r="125" spans="1:13" x14ac:dyDescent="0.3">
      <c r="A125" s="83" t="str">
        <f>$A$36</f>
        <v>III</v>
      </c>
      <c r="B125" s="216" t="str">
        <f>$A$37</f>
        <v>insumos diversos</v>
      </c>
      <c r="C125" s="216"/>
      <c r="D125" s="216"/>
      <c r="E125" s="216"/>
      <c r="F125" s="216"/>
      <c r="G125" s="216"/>
      <c r="H125" s="235">
        <f>$H$40</f>
        <v>0</v>
      </c>
      <c r="I125" s="235"/>
      <c r="J125" s="235">
        <f>$H$40</f>
        <v>0</v>
      </c>
      <c r="K125" s="235"/>
      <c r="L125" s="235">
        <f>$L$40</f>
        <v>0</v>
      </c>
      <c r="M125" s="235"/>
    </row>
    <row r="126" spans="1:13" x14ac:dyDescent="0.3">
      <c r="A126" s="83" t="str">
        <f>$A$42</f>
        <v>IV</v>
      </c>
      <c r="B126" s="216" t="str">
        <f>$A$43</f>
        <v>encargos trabalhistas, sociais e econômicos</v>
      </c>
      <c r="C126" s="216"/>
      <c r="D126" s="216"/>
      <c r="E126" s="216"/>
      <c r="F126" s="216"/>
      <c r="G126" s="216"/>
      <c r="H126" s="235">
        <f>$I$119</f>
        <v>0</v>
      </c>
      <c r="I126" s="235"/>
      <c r="J126" s="235">
        <f>$I$119</f>
        <v>0</v>
      </c>
      <c r="K126" s="235"/>
      <c r="L126" s="235">
        <f>$M$119</f>
        <v>0</v>
      </c>
      <c r="M126" s="235"/>
    </row>
    <row r="127" spans="1:13" x14ac:dyDescent="0.3">
      <c r="A127" s="84" t="s">
        <v>154</v>
      </c>
      <c r="B127" s="199" t="s">
        <v>90</v>
      </c>
      <c r="C127" s="199"/>
      <c r="D127" s="199"/>
      <c r="E127" s="199"/>
      <c r="F127" s="199"/>
      <c r="G127" s="199"/>
      <c r="H127" s="236"/>
      <c r="I127" s="236"/>
      <c r="J127" s="236"/>
      <c r="K127" s="236"/>
      <c r="L127" s="225"/>
      <c r="M127" s="225"/>
    </row>
    <row r="128" spans="1:13" x14ac:dyDescent="0.3">
      <c r="A128" s="226" t="s">
        <v>72</v>
      </c>
      <c r="B128" s="227"/>
      <c r="C128" s="227"/>
      <c r="D128" s="227"/>
      <c r="E128" s="227"/>
      <c r="F128" s="227"/>
      <c r="G128" s="228"/>
      <c r="H128" s="232">
        <f>SUM(H123:H127)</f>
        <v>0</v>
      </c>
      <c r="I128" s="232"/>
      <c r="J128" s="232">
        <f>SUM(J123:J127)</f>
        <v>0</v>
      </c>
      <c r="K128" s="232"/>
      <c r="L128" s="232">
        <f>SUM(L123:L127)</f>
        <v>0</v>
      </c>
      <c r="M128" s="232"/>
    </row>
    <row r="129" spans="1:13" ht="18" customHeight="1" x14ac:dyDescent="0.3">
      <c r="A129" s="105"/>
      <c r="B129" s="105"/>
      <c r="C129" s="105"/>
      <c r="D129" s="105"/>
      <c r="E129" s="105"/>
      <c r="F129" s="105"/>
      <c r="G129" s="105"/>
      <c r="H129" s="106"/>
      <c r="I129" s="106"/>
      <c r="J129" s="106"/>
      <c r="K129" s="106"/>
      <c r="L129" s="106"/>
      <c r="M129" s="106"/>
    </row>
    <row r="130" spans="1:13" x14ac:dyDescent="0.3">
      <c r="A130" s="224" t="s">
        <v>155</v>
      </c>
      <c r="B130" s="224"/>
      <c r="C130" s="224"/>
      <c r="D130" s="224"/>
      <c r="E130" s="224"/>
      <c r="F130" s="224"/>
      <c r="G130" s="224"/>
      <c r="H130" s="224"/>
      <c r="I130" s="224"/>
      <c r="J130" s="224"/>
      <c r="K130" s="224"/>
      <c r="L130" s="224"/>
      <c r="M130" s="224"/>
    </row>
    <row r="131" spans="1:13" x14ac:dyDescent="0.3">
      <c r="A131" s="84"/>
      <c r="B131" s="199" t="s">
        <v>156</v>
      </c>
      <c r="C131" s="199"/>
      <c r="D131" s="199"/>
      <c r="E131" s="199"/>
      <c r="F131" s="199"/>
      <c r="G131" s="199"/>
      <c r="H131" s="225">
        <f>(H128*8)*12</f>
        <v>0</v>
      </c>
      <c r="I131" s="225"/>
      <c r="J131" s="233">
        <f>(J128*6)*12</f>
        <v>0</v>
      </c>
      <c r="K131" s="234"/>
      <c r="L131" s="225">
        <f>(L128)*12</f>
        <v>0</v>
      </c>
      <c r="M131" s="225"/>
    </row>
    <row r="132" spans="1:13" x14ac:dyDescent="0.3">
      <c r="A132" s="226" t="s">
        <v>72</v>
      </c>
      <c r="B132" s="227"/>
      <c r="C132" s="227"/>
      <c r="D132" s="227"/>
      <c r="E132" s="227"/>
      <c r="F132" s="227"/>
      <c r="G132" s="228"/>
      <c r="H132" s="229">
        <f>H131+J131+L131</f>
        <v>0</v>
      </c>
      <c r="I132" s="230"/>
      <c r="J132" s="230"/>
      <c r="K132" s="230"/>
      <c r="L132" s="230"/>
      <c r="M132" s="231"/>
    </row>
    <row r="133" spans="1:13" x14ac:dyDescent="0.3">
      <c r="A133" s="105"/>
      <c r="B133" s="105"/>
      <c r="C133" s="105"/>
      <c r="D133" s="105"/>
      <c r="E133" s="105"/>
      <c r="F133" s="105"/>
      <c r="G133" s="105"/>
      <c r="H133" s="106"/>
      <c r="I133" s="106"/>
      <c r="J133" s="106"/>
      <c r="K133" s="106"/>
      <c r="L133" s="106"/>
      <c r="M133" s="106"/>
    </row>
    <row r="134" spans="1:13" x14ac:dyDescent="0.3">
      <c r="A134" s="105"/>
      <c r="B134" s="105"/>
      <c r="C134" s="105"/>
      <c r="D134" s="105"/>
      <c r="E134" s="105"/>
      <c r="F134" s="105"/>
      <c r="G134" s="105"/>
      <c r="H134" s="106"/>
      <c r="I134" s="106"/>
      <c r="J134" s="106"/>
      <c r="K134" s="106"/>
      <c r="L134" s="106"/>
      <c r="M134" s="106"/>
    </row>
    <row r="135" spans="1:13" x14ac:dyDescent="0.3">
      <c r="A135" s="105"/>
      <c r="B135" s="105"/>
      <c r="C135" s="105"/>
      <c r="D135" s="105"/>
      <c r="E135" s="105"/>
      <c r="F135" s="105"/>
      <c r="G135" s="105"/>
      <c r="H135" s="106"/>
      <c r="I135" s="106"/>
      <c r="J135" s="106"/>
      <c r="K135" s="106"/>
      <c r="L135" s="106"/>
      <c r="M135" s="106"/>
    </row>
    <row r="137" spans="1:13" ht="15" customHeight="1" x14ac:dyDescent="0.3"/>
    <row r="138" spans="1:13" ht="15" customHeight="1" x14ac:dyDescent="0.3"/>
    <row r="141" spans="1:13" ht="15" customHeight="1" x14ac:dyDescent="0.3"/>
  </sheetData>
  <mergeCells count="252">
    <mergeCell ref="B126:G126"/>
    <mergeCell ref="H126:I126"/>
    <mergeCell ref="L126:M126"/>
    <mergeCell ref="B127:G127"/>
    <mergeCell ref="H127:I127"/>
    <mergeCell ref="L127:M127"/>
    <mergeCell ref="B124:G124"/>
    <mergeCell ref="H124:I124"/>
    <mergeCell ref="L124:M124"/>
    <mergeCell ref="B125:G125"/>
    <mergeCell ref="H125:I125"/>
    <mergeCell ref="L125:M125"/>
    <mergeCell ref="J124:K124"/>
    <mergeCell ref="J125:K125"/>
    <mergeCell ref="J126:K126"/>
    <mergeCell ref="J127:K127"/>
    <mergeCell ref="A130:M130"/>
    <mergeCell ref="B131:G131"/>
    <mergeCell ref="H131:I131"/>
    <mergeCell ref="L131:M131"/>
    <mergeCell ref="A132:G132"/>
    <mergeCell ref="H132:M132"/>
    <mergeCell ref="A128:G128"/>
    <mergeCell ref="H128:I128"/>
    <mergeCell ref="L128:M128"/>
    <mergeCell ref="J128:K128"/>
    <mergeCell ref="J131:K131"/>
    <mergeCell ref="B122:G122"/>
    <mergeCell ref="H122:I122"/>
    <mergeCell ref="L122:M122"/>
    <mergeCell ref="B123:G123"/>
    <mergeCell ref="H123:I123"/>
    <mergeCell ref="L123:M123"/>
    <mergeCell ref="B113:G113"/>
    <mergeCell ref="B114:G114"/>
    <mergeCell ref="B115:G115"/>
    <mergeCell ref="B116:G116"/>
    <mergeCell ref="B117:G117"/>
    <mergeCell ref="B118:G118"/>
    <mergeCell ref="A119:G119"/>
    <mergeCell ref="A121:M121"/>
    <mergeCell ref="J122:K122"/>
    <mergeCell ref="J123:K123"/>
    <mergeCell ref="B108:F108"/>
    <mergeCell ref="A109:G109"/>
    <mergeCell ref="B111:G111"/>
    <mergeCell ref="H111:I111"/>
    <mergeCell ref="L111:M111"/>
    <mergeCell ref="A112:G112"/>
    <mergeCell ref="B102:G102"/>
    <mergeCell ref="B103:G103"/>
    <mergeCell ref="B104:G104"/>
    <mergeCell ref="A105:G105"/>
    <mergeCell ref="B106:G106"/>
    <mergeCell ref="A107:G107"/>
    <mergeCell ref="J111:K111"/>
    <mergeCell ref="L96:M96"/>
    <mergeCell ref="A97:G97"/>
    <mergeCell ref="B98:G98"/>
    <mergeCell ref="B99:G99"/>
    <mergeCell ref="B100:G100"/>
    <mergeCell ref="B101:G101"/>
    <mergeCell ref="A91:G91"/>
    <mergeCell ref="A92:G92"/>
    <mergeCell ref="B93:F93"/>
    <mergeCell ref="A94:G94"/>
    <mergeCell ref="B96:G96"/>
    <mergeCell ref="H96:I96"/>
    <mergeCell ref="J96:K96"/>
    <mergeCell ref="B85:G85"/>
    <mergeCell ref="B86:G86"/>
    <mergeCell ref="B87:G87"/>
    <mergeCell ref="A88:G88"/>
    <mergeCell ref="B89:G89"/>
    <mergeCell ref="B90:G90"/>
    <mergeCell ref="A79:G79"/>
    <mergeCell ref="B80:G80"/>
    <mergeCell ref="B81:G81"/>
    <mergeCell ref="B82:G82"/>
    <mergeCell ref="A83:G83"/>
    <mergeCell ref="B84:G84"/>
    <mergeCell ref="B75:G75"/>
    <mergeCell ref="H75:I75"/>
    <mergeCell ref="L75:M75"/>
    <mergeCell ref="A76:G76"/>
    <mergeCell ref="B77:G77"/>
    <mergeCell ref="B78:G78"/>
    <mergeCell ref="B68:G68"/>
    <mergeCell ref="A69:G69"/>
    <mergeCell ref="B70:G70"/>
    <mergeCell ref="A71:G71"/>
    <mergeCell ref="B72:F72"/>
    <mergeCell ref="A73:G73"/>
    <mergeCell ref="J75:K75"/>
    <mergeCell ref="A63:G63"/>
    <mergeCell ref="B65:G65"/>
    <mergeCell ref="H65:I65"/>
    <mergeCell ref="L65:M65"/>
    <mergeCell ref="A66:G66"/>
    <mergeCell ref="B67:G67"/>
    <mergeCell ref="L57:M57"/>
    <mergeCell ref="A58:G58"/>
    <mergeCell ref="B59:G59"/>
    <mergeCell ref="B60:G60"/>
    <mergeCell ref="A61:G61"/>
    <mergeCell ref="B62:G62"/>
    <mergeCell ref="J57:K57"/>
    <mergeCell ref="J65:K65"/>
    <mergeCell ref="B52:G52"/>
    <mergeCell ref="B53:G53"/>
    <mergeCell ref="B54:G54"/>
    <mergeCell ref="A55:G55"/>
    <mergeCell ref="B57:G57"/>
    <mergeCell ref="H57:I57"/>
    <mergeCell ref="A46:G46"/>
    <mergeCell ref="B47:G47"/>
    <mergeCell ref="B48:G48"/>
    <mergeCell ref="B49:G49"/>
    <mergeCell ref="B50:G50"/>
    <mergeCell ref="B51:G51"/>
    <mergeCell ref="A40:G40"/>
    <mergeCell ref="H40:I40"/>
    <mergeCell ref="L40:M40"/>
    <mergeCell ref="B42:M42"/>
    <mergeCell ref="A43:M43"/>
    <mergeCell ref="B45:G45"/>
    <mergeCell ref="H45:I45"/>
    <mergeCell ref="L45:M45"/>
    <mergeCell ref="B38:G38"/>
    <mergeCell ref="H38:I38"/>
    <mergeCell ref="L38:M38"/>
    <mergeCell ref="B39:G39"/>
    <mergeCell ref="H39:I39"/>
    <mergeCell ref="L39:M39"/>
    <mergeCell ref="J38:K38"/>
    <mergeCell ref="J39:K39"/>
    <mergeCell ref="J40:K40"/>
    <mergeCell ref="J45:K45"/>
    <mergeCell ref="A34:G34"/>
    <mergeCell ref="H34:I34"/>
    <mergeCell ref="L34:M34"/>
    <mergeCell ref="B36:M36"/>
    <mergeCell ref="A37:G37"/>
    <mergeCell ref="H37:I37"/>
    <mergeCell ref="L37:M37"/>
    <mergeCell ref="A32:G32"/>
    <mergeCell ref="H32:I32"/>
    <mergeCell ref="L32:M32"/>
    <mergeCell ref="B33:F33"/>
    <mergeCell ref="H33:I33"/>
    <mergeCell ref="L33:M33"/>
    <mergeCell ref="J32:K32"/>
    <mergeCell ref="J33:K33"/>
    <mergeCell ref="J34:K34"/>
    <mergeCell ref="J37:K37"/>
    <mergeCell ref="B30:G30"/>
    <mergeCell ref="H30:I30"/>
    <mergeCell ref="L30:M30"/>
    <mergeCell ref="B31:G31"/>
    <mergeCell ref="H31:I31"/>
    <mergeCell ref="L31:M31"/>
    <mergeCell ref="B28:G28"/>
    <mergeCell ref="H28:I28"/>
    <mergeCell ref="L28:M28"/>
    <mergeCell ref="B29:G29"/>
    <mergeCell ref="H29:I29"/>
    <mergeCell ref="L29:M29"/>
    <mergeCell ref="J28:K28"/>
    <mergeCell ref="J29:K29"/>
    <mergeCell ref="J30:K30"/>
    <mergeCell ref="J31:K31"/>
    <mergeCell ref="B26:G26"/>
    <mergeCell ref="H26:I26"/>
    <mergeCell ref="L26:M26"/>
    <mergeCell ref="B27:G27"/>
    <mergeCell ref="H27:I27"/>
    <mergeCell ref="L27:M27"/>
    <mergeCell ref="B24:G24"/>
    <mergeCell ref="H24:I24"/>
    <mergeCell ref="L24:M24"/>
    <mergeCell ref="B25:G25"/>
    <mergeCell ref="H25:I25"/>
    <mergeCell ref="L25:M25"/>
    <mergeCell ref="J24:K24"/>
    <mergeCell ref="J25:K25"/>
    <mergeCell ref="J26:K26"/>
    <mergeCell ref="J27:K27"/>
    <mergeCell ref="A20:G20"/>
    <mergeCell ref="H20:I20"/>
    <mergeCell ref="L20:M20"/>
    <mergeCell ref="B22:M22"/>
    <mergeCell ref="A23:G23"/>
    <mergeCell ref="H23:I23"/>
    <mergeCell ref="L23:M23"/>
    <mergeCell ref="A18:G18"/>
    <mergeCell ref="H18:I18"/>
    <mergeCell ref="L18:M18"/>
    <mergeCell ref="B19:F19"/>
    <mergeCell ref="H19:I19"/>
    <mergeCell ref="L19:M19"/>
    <mergeCell ref="J18:K18"/>
    <mergeCell ref="J19:K19"/>
    <mergeCell ref="J20:K20"/>
    <mergeCell ref="J23:K23"/>
    <mergeCell ref="B16:G16"/>
    <mergeCell ref="H16:I16"/>
    <mergeCell ref="L16:M16"/>
    <mergeCell ref="B17:G17"/>
    <mergeCell ref="H17:I17"/>
    <mergeCell ref="L17:M17"/>
    <mergeCell ref="B14:G14"/>
    <mergeCell ref="H14:I14"/>
    <mergeCell ref="L14:M14"/>
    <mergeCell ref="B15:G15"/>
    <mergeCell ref="H15:I15"/>
    <mergeCell ref="L15:M15"/>
    <mergeCell ref="J14:K14"/>
    <mergeCell ref="J15:K15"/>
    <mergeCell ref="J16:K16"/>
    <mergeCell ref="J17:K17"/>
    <mergeCell ref="A12:G12"/>
    <mergeCell ref="H12:I12"/>
    <mergeCell ref="L12:M12"/>
    <mergeCell ref="B13:G13"/>
    <mergeCell ref="H13:I13"/>
    <mergeCell ref="L13:M13"/>
    <mergeCell ref="B7:G7"/>
    <mergeCell ref="H7:I7"/>
    <mergeCell ref="L7:M7"/>
    <mergeCell ref="A8:G8"/>
    <mergeCell ref="B9:G9"/>
    <mergeCell ref="B11:M11"/>
    <mergeCell ref="J7:K7"/>
    <mergeCell ref="J12:K12"/>
    <mergeCell ref="J13:K13"/>
    <mergeCell ref="B5:G5"/>
    <mergeCell ref="H5:I5"/>
    <mergeCell ref="L5:M5"/>
    <mergeCell ref="B6:G6"/>
    <mergeCell ref="H6:I6"/>
    <mergeCell ref="L6:M6"/>
    <mergeCell ref="A1:M1"/>
    <mergeCell ref="B2:G2"/>
    <mergeCell ref="H2:I2"/>
    <mergeCell ref="L2:M2"/>
    <mergeCell ref="A4:G4"/>
    <mergeCell ref="H4:I4"/>
    <mergeCell ref="L4:M4"/>
    <mergeCell ref="J2:K2"/>
    <mergeCell ref="J4:K4"/>
    <mergeCell ref="J5:K5"/>
    <mergeCell ref="J6:K6"/>
  </mergeCells>
  <pageMargins left="0.511811024" right="0.511811024" top="0.78740157499999996" bottom="0.78740157499999996" header="0.31496062000000002" footer="0.31496062000000002"/>
  <pageSetup paperSize="9" scale="77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7"/>
  <dimension ref="A1:D64"/>
  <sheetViews>
    <sheetView view="pageBreakPreview" zoomScaleNormal="100" zoomScaleSheetLayoutView="100" workbookViewId="0">
      <selection activeCell="C2" sqref="C2"/>
    </sheetView>
  </sheetViews>
  <sheetFormatPr defaultColWidth="9.140625" defaultRowHeight="16.5" x14ac:dyDescent="0.3"/>
  <cols>
    <col min="1" max="1" width="3.7109375" style="6" customWidth="1"/>
    <col min="2" max="2" width="59.140625" style="1" customWidth="1"/>
    <col min="3" max="3" width="20.140625" style="1" customWidth="1"/>
    <col min="4" max="4" width="71.7109375" style="8" customWidth="1"/>
    <col min="5" max="16384" width="9.140625" style="6"/>
  </cols>
  <sheetData>
    <row r="1" spans="1:4" ht="18.75" x14ac:dyDescent="0.3">
      <c r="A1" s="14">
        <v>1</v>
      </c>
      <c r="B1" s="14" t="s">
        <v>23</v>
      </c>
      <c r="D1" s="8" t="s">
        <v>46</v>
      </c>
    </row>
    <row r="2" spans="1:4" ht="30" x14ac:dyDescent="0.3">
      <c r="B2" s="1" t="s">
        <v>157</v>
      </c>
      <c r="C2" s="10"/>
      <c r="D2" s="93" t="s">
        <v>158</v>
      </c>
    </row>
    <row r="3" spans="1:4" x14ac:dyDescent="0.3">
      <c r="B3" s="1" t="s">
        <v>159</v>
      </c>
      <c r="C3" s="10"/>
      <c r="D3" s="93" t="s">
        <v>160</v>
      </c>
    </row>
    <row r="4" spans="1:4" x14ac:dyDescent="0.3">
      <c r="B4" s="1" t="s">
        <v>161</v>
      </c>
      <c r="C4" s="10">
        <v>0</v>
      </c>
      <c r="D4" s="93" t="s">
        <v>160</v>
      </c>
    </row>
    <row r="5" spans="1:4" x14ac:dyDescent="0.3">
      <c r="B5" s="1" t="s">
        <v>162</v>
      </c>
      <c r="C5" s="10"/>
      <c r="D5" s="93" t="s">
        <v>160</v>
      </c>
    </row>
    <row r="6" spans="1:4" x14ac:dyDescent="0.3">
      <c r="B6" s="1" t="s">
        <v>163</v>
      </c>
      <c r="C6" s="10">
        <f>C5+C2+C3+C4</f>
        <v>0</v>
      </c>
    </row>
    <row r="7" spans="1:4" x14ac:dyDescent="0.3">
      <c r="B7" s="1" t="s">
        <v>164</v>
      </c>
      <c r="C7" s="10">
        <f>C6</f>
        <v>0</v>
      </c>
    </row>
    <row r="8" spans="1:4" hidden="1" x14ac:dyDescent="0.3">
      <c r="B8" s="12" t="s">
        <v>165</v>
      </c>
      <c r="C8" s="15">
        <f>C7</f>
        <v>0</v>
      </c>
    </row>
    <row r="9" spans="1:4" x14ac:dyDescent="0.3">
      <c r="B9" s="12" t="s">
        <v>166</v>
      </c>
      <c r="C9" s="15">
        <f>C7*6</f>
        <v>0</v>
      </c>
      <c r="D9" s="8" t="s">
        <v>167</v>
      </c>
    </row>
    <row r="11" spans="1:4" ht="18.75" x14ac:dyDescent="0.3">
      <c r="A11" s="14">
        <v>2</v>
      </c>
      <c r="B11" s="14" t="s">
        <v>168</v>
      </c>
      <c r="D11" s="8" t="s">
        <v>46</v>
      </c>
    </row>
    <row r="12" spans="1:4" x14ac:dyDescent="0.3">
      <c r="B12" s="1" t="s">
        <v>169</v>
      </c>
      <c r="C12" s="11">
        <v>0</v>
      </c>
    </row>
    <row r="13" spans="1:4" x14ac:dyDescent="0.3">
      <c r="B13" s="1" t="s">
        <v>170</v>
      </c>
      <c r="C13" s="11">
        <f>20.5*12</f>
        <v>246</v>
      </c>
    </row>
    <row r="14" spans="1:4" x14ac:dyDescent="0.3">
      <c r="B14" s="1" t="s">
        <v>171</v>
      </c>
      <c r="C14" s="11">
        <f>C12*C13</f>
        <v>0</v>
      </c>
      <c r="D14" s="6"/>
    </row>
    <row r="15" spans="1:4" x14ac:dyDescent="0.3">
      <c r="B15" s="1" t="s">
        <v>172</v>
      </c>
      <c r="C15" s="11">
        <f>C14</f>
        <v>0</v>
      </c>
      <c r="D15" s="6"/>
    </row>
    <row r="16" spans="1:4" x14ac:dyDescent="0.3">
      <c r="B16" s="1" t="s">
        <v>173</v>
      </c>
      <c r="C16" s="21">
        <v>0.97</v>
      </c>
      <c r="D16" s="6"/>
    </row>
    <row r="17" spans="1:4" x14ac:dyDescent="0.3">
      <c r="B17" s="1" t="s">
        <v>174</v>
      </c>
      <c r="C17" s="10">
        <f>C15*C16</f>
        <v>0</v>
      </c>
      <c r="D17" s="6"/>
    </row>
    <row r="18" spans="1:4" hidden="1" x14ac:dyDescent="0.3">
      <c r="B18" s="12"/>
      <c r="C18" s="15">
        <v>0</v>
      </c>
      <c r="D18" s="6"/>
    </row>
    <row r="19" spans="1:4" x14ac:dyDescent="0.3">
      <c r="B19" s="12" t="s">
        <v>166</v>
      </c>
      <c r="C19" s="15">
        <f>C17*5</f>
        <v>0</v>
      </c>
      <c r="D19" s="6"/>
    </row>
    <row r="21" spans="1:4" ht="18.75" hidden="1" x14ac:dyDescent="0.3">
      <c r="A21" s="14">
        <v>3</v>
      </c>
      <c r="B21" s="237" t="s">
        <v>175</v>
      </c>
      <c r="C21" s="237"/>
      <c r="D21" s="8" t="s">
        <v>176</v>
      </c>
    </row>
    <row r="22" spans="1:4" hidden="1" x14ac:dyDescent="0.3">
      <c r="B22" s="1" t="s">
        <v>177</v>
      </c>
      <c r="C22" s="9">
        <v>0</v>
      </c>
      <c r="D22" s="8" t="s">
        <v>160</v>
      </c>
    </row>
    <row r="23" spans="1:4" hidden="1" x14ac:dyDescent="0.3">
      <c r="B23" s="1" t="s">
        <v>8</v>
      </c>
      <c r="C23" s="9">
        <v>0</v>
      </c>
      <c r="D23" s="8" t="s">
        <v>160</v>
      </c>
    </row>
    <row r="24" spans="1:4" hidden="1" x14ac:dyDescent="0.3">
      <c r="B24" s="5" t="s">
        <v>178</v>
      </c>
      <c r="C24" s="9">
        <v>0</v>
      </c>
      <c r="D24" s="6"/>
    </row>
    <row r="25" spans="1:4" hidden="1" x14ac:dyDescent="0.3">
      <c r="B25" s="5"/>
      <c r="C25" s="9"/>
      <c r="D25" s="6"/>
    </row>
    <row r="26" spans="1:4" hidden="1" x14ac:dyDescent="0.3">
      <c r="B26" s="12"/>
      <c r="C26" s="16" t="s">
        <v>66</v>
      </c>
      <c r="D26" s="6"/>
    </row>
    <row r="27" spans="1:4" hidden="1" x14ac:dyDescent="0.3">
      <c r="B27" s="12" t="s">
        <v>179</v>
      </c>
      <c r="C27" s="16">
        <f>C23*60+C22</f>
        <v>0</v>
      </c>
      <c r="D27" s="6"/>
    </row>
    <row r="28" spans="1:4" hidden="1" x14ac:dyDescent="0.3"/>
    <row r="29" spans="1:4" ht="18.75" x14ac:dyDescent="0.3">
      <c r="A29" s="14">
        <v>3</v>
      </c>
      <c r="B29" s="14" t="s">
        <v>24</v>
      </c>
      <c r="D29" s="8" t="s">
        <v>46</v>
      </c>
    </row>
    <row r="30" spans="1:4" ht="30" x14ac:dyDescent="0.3">
      <c r="B30" s="1" t="s">
        <v>180</v>
      </c>
      <c r="C30" s="9"/>
      <c r="D30" s="93" t="s">
        <v>181</v>
      </c>
    </row>
    <row r="31" spans="1:4" x14ac:dyDescent="0.3">
      <c r="B31" s="1" t="s">
        <v>182</v>
      </c>
      <c r="C31" s="9">
        <f>C30*1.05</f>
        <v>0</v>
      </c>
    </row>
    <row r="32" spans="1:4" x14ac:dyDescent="0.3">
      <c r="B32" s="1" t="s">
        <v>183</v>
      </c>
      <c r="C32" s="104">
        <v>12</v>
      </c>
    </row>
    <row r="33" spans="1:4" hidden="1" x14ac:dyDescent="0.3">
      <c r="B33" s="5" t="s">
        <v>184</v>
      </c>
      <c r="C33" s="9">
        <f>C32*C31</f>
        <v>0</v>
      </c>
      <c r="D33" s="6"/>
    </row>
    <row r="34" spans="1:4" hidden="1" x14ac:dyDescent="0.3">
      <c r="B34" s="12"/>
      <c r="C34" s="16" t="s">
        <v>66</v>
      </c>
      <c r="D34" s="6"/>
    </row>
    <row r="35" spans="1:4" x14ac:dyDescent="0.3">
      <c r="B35" s="12" t="s">
        <v>179</v>
      </c>
      <c r="C35" s="16">
        <f>C33*1</f>
        <v>0</v>
      </c>
      <c r="D35" s="6"/>
    </row>
    <row r="36" spans="1:4" x14ac:dyDescent="0.3">
      <c r="C36" s="10"/>
      <c r="D36" s="6"/>
    </row>
    <row r="37" spans="1:4" ht="18.75" x14ac:dyDescent="0.3">
      <c r="A37" s="14">
        <v>4</v>
      </c>
      <c r="B37" s="14" t="s">
        <v>26</v>
      </c>
      <c r="D37" s="8" t="s">
        <v>46</v>
      </c>
    </row>
    <row r="38" spans="1:4" x14ac:dyDescent="0.3">
      <c r="B38" s="1" t="s">
        <v>185</v>
      </c>
      <c r="C38" s="9"/>
      <c r="D38" s="8" t="s">
        <v>186</v>
      </c>
    </row>
    <row r="39" spans="1:4" x14ac:dyDescent="0.3">
      <c r="B39" s="1" t="s">
        <v>187</v>
      </c>
      <c r="C39" s="9"/>
      <c r="D39" s="8" t="s">
        <v>188</v>
      </c>
    </row>
    <row r="40" spans="1:4" x14ac:dyDescent="0.3">
      <c r="B40" s="1" t="s">
        <v>189</v>
      </c>
      <c r="C40" s="9">
        <f>C38+C39</f>
        <v>0</v>
      </c>
    </row>
    <row r="41" spans="1:4" x14ac:dyDescent="0.3">
      <c r="B41" s="1" t="s">
        <v>190</v>
      </c>
      <c r="C41" s="13">
        <v>0.125</v>
      </c>
      <c r="D41" s="93" t="s">
        <v>191</v>
      </c>
    </row>
    <row r="42" spans="1:4" x14ac:dyDescent="0.3">
      <c r="B42" s="1" t="s">
        <v>192</v>
      </c>
      <c r="C42" s="9">
        <f>C40*C41</f>
        <v>0</v>
      </c>
    </row>
    <row r="43" spans="1:4" hidden="1" x14ac:dyDescent="0.3">
      <c r="B43" s="12"/>
      <c r="C43" s="16" t="s">
        <v>66</v>
      </c>
      <c r="D43" s="6"/>
    </row>
    <row r="44" spans="1:4" x14ac:dyDescent="0.3">
      <c r="B44" s="12" t="s">
        <v>193</v>
      </c>
      <c r="C44" s="16">
        <f>C42</f>
        <v>0</v>
      </c>
      <c r="D44" s="6"/>
    </row>
    <row r="45" spans="1:4" x14ac:dyDescent="0.3">
      <c r="C45" s="10"/>
      <c r="D45" s="6"/>
    </row>
    <row r="46" spans="1:4" ht="18.75" x14ac:dyDescent="0.3">
      <c r="A46" s="14">
        <v>5</v>
      </c>
      <c r="B46" s="14" t="s">
        <v>27</v>
      </c>
      <c r="D46" s="8" t="s">
        <v>46</v>
      </c>
    </row>
    <row r="47" spans="1:4" x14ac:dyDescent="0.3">
      <c r="B47" s="1" t="s">
        <v>194</v>
      </c>
      <c r="C47" s="9">
        <f>C38</f>
        <v>0</v>
      </c>
      <c r="D47" s="8" t="s">
        <v>186</v>
      </c>
    </row>
    <row r="48" spans="1:4" x14ac:dyDescent="0.3">
      <c r="B48" s="1" t="s">
        <v>195</v>
      </c>
      <c r="C48" s="13">
        <v>0.11749999999999999</v>
      </c>
      <c r="D48" s="8" t="s">
        <v>196</v>
      </c>
    </row>
    <row r="49" spans="1:4" x14ac:dyDescent="0.3">
      <c r="B49" s="1" t="s">
        <v>197</v>
      </c>
      <c r="C49" s="9">
        <f>C47*C48</f>
        <v>0</v>
      </c>
    </row>
    <row r="50" spans="1:4" x14ac:dyDescent="0.3">
      <c r="B50" s="12"/>
      <c r="C50" s="16">
        <f>C49</f>
        <v>0</v>
      </c>
      <c r="D50" s="6"/>
    </row>
    <row r="51" spans="1:4" x14ac:dyDescent="0.3">
      <c r="B51" s="12" t="s">
        <v>193</v>
      </c>
      <c r="C51" s="16">
        <f>C49</f>
        <v>0</v>
      </c>
      <c r="D51" s="6"/>
    </row>
    <row r="52" spans="1:4" x14ac:dyDescent="0.3">
      <c r="C52" s="10"/>
      <c r="D52" s="6"/>
    </row>
    <row r="53" spans="1:4" ht="18.75" x14ac:dyDescent="0.3">
      <c r="A53" s="14">
        <v>6</v>
      </c>
      <c r="B53" s="14" t="s">
        <v>198</v>
      </c>
      <c r="D53" s="8" t="s">
        <v>46</v>
      </c>
    </row>
    <row r="54" spans="1:4" x14ac:dyDescent="0.3">
      <c r="B54" s="1" t="s">
        <v>199</v>
      </c>
      <c r="C54" s="17">
        <v>0.05</v>
      </c>
      <c r="D54" s="93" t="s">
        <v>200</v>
      </c>
    </row>
    <row r="55" spans="1:4" x14ac:dyDescent="0.3">
      <c r="B55" s="1" t="s">
        <v>201</v>
      </c>
      <c r="C55" s="17">
        <v>0.05</v>
      </c>
      <c r="D55" s="93" t="s">
        <v>160</v>
      </c>
    </row>
    <row r="56" spans="1:4" x14ac:dyDescent="0.3">
      <c r="B56" s="1" t="s">
        <v>202</v>
      </c>
      <c r="C56" s="17">
        <v>6.5000000000000002E-2</v>
      </c>
      <c r="D56" s="93" t="s">
        <v>203</v>
      </c>
    </row>
    <row r="57" spans="1:4" hidden="1" x14ac:dyDescent="0.3">
      <c r="C57" s="10"/>
      <c r="D57" s="6"/>
    </row>
    <row r="58" spans="1:4" hidden="1" x14ac:dyDescent="0.3">
      <c r="B58" s="12"/>
      <c r="C58" s="15"/>
      <c r="D58" s="93"/>
    </row>
    <row r="59" spans="1:4" x14ac:dyDescent="0.3">
      <c r="B59" s="1" t="s">
        <v>204</v>
      </c>
      <c r="C59" s="4">
        <f>SUM('2. Planilha Auxiliar Resumo'!G5:G10)</f>
        <v>0</v>
      </c>
      <c r="D59" s="6"/>
    </row>
    <row r="60" spans="1:4" x14ac:dyDescent="0.3">
      <c r="B60" s="12"/>
      <c r="C60" s="15">
        <f>C59/(1-C54-C55-C56)-C59</f>
        <v>0</v>
      </c>
      <c r="D60" s="93" t="s">
        <v>205</v>
      </c>
    </row>
    <row r="61" spans="1:4" x14ac:dyDescent="0.3">
      <c r="C61" s="10"/>
      <c r="D61" s="6"/>
    </row>
    <row r="62" spans="1:4" hidden="1" x14ac:dyDescent="0.3">
      <c r="B62" s="12"/>
      <c r="C62" s="15">
        <f>C61/(1-C54-C55-C56)-C61</f>
        <v>0</v>
      </c>
      <c r="D62" s="93"/>
    </row>
    <row r="63" spans="1:4" hidden="1" x14ac:dyDescent="0.3">
      <c r="C63" s="4"/>
      <c r="D63" s="6"/>
    </row>
    <row r="64" spans="1:4" hidden="1" x14ac:dyDescent="0.3">
      <c r="B64" s="12"/>
      <c r="C64" s="15">
        <f>C63/(1-C54-C55-C56)-C63</f>
        <v>0</v>
      </c>
      <c r="D64" s="93"/>
    </row>
  </sheetData>
  <mergeCells count="1">
    <mergeCell ref="B21:C21"/>
  </mergeCells>
  <pageMargins left="0.511811024" right="0.511811024" top="0.78740157499999996" bottom="0.78740157499999996" header="0.31496062000000002" footer="0.31496062000000002"/>
  <pageSetup paperSize="9" scale="59" orientation="portrait" r:id="rId1"/>
  <colBreaks count="1" manualBreakCount="1">
    <brk id="4" max="6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/>
  <dimension ref="A1:D37"/>
  <sheetViews>
    <sheetView view="pageBreakPreview" zoomScaleNormal="100" zoomScaleSheetLayoutView="100" workbookViewId="0">
      <selection activeCell="H26" sqref="H26"/>
    </sheetView>
  </sheetViews>
  <sheetFormatPr defaultColWidth="9.140625" defaultRowHeight="16.5" x14ac:dyDescent="0.3"/>
  <cols>
    <col min="1" max="1" width="3.7109375" style="6" customWidth="1"/>
    <col min="2" max="2" width="55" style="1" customWidth="1"/>
    <col min="3" max="3" width="19.28515625" style="1" bestFit="1" customWidth="1"/>
    <col min="4" max="4" width="51.7109375" style="93" customWidth="1"/>
    <col min="5" max="16384" width="9.140625" style="6"/>
  </cols>
  <sheetData>
    <row r="1" spans="1:4" ht="18.75" x14ac:dyDescent="0.3">
      <c r="A1" s="14">
        <v>1</v>
      </c>
      <c r="B1" s="14" t="s">
        <v>32</v>
      </c>
      <c r="D1" s="93" t="s">
        <v>46</v>
      </c>
    </row>
    <row r="2" spans="1:4" ht="45" x14ac:dyDescent="0.3">
      <c r="B2" s="1" t="s">
        <v>206</v>
      </c>
      <c r="C2" s="19"/>
      <c r="D2" s="93" t="s">
        <v>207</v>
      </c>
    </row>
    <row r="3" spans="1:4" x14ac:dyDescent="0.3">
      <c r="B3" s="1" t="s">
        <v>208</v>
      </c>
      <c r="C3" s="20">
        <f>C2*1.03</f>
        <v>0</v>
      </c>
    </row>
    <row r="4" spans="1:4" x14ac:dyDescent="0.3">
      <c r="B4" s="1" t="s">
        <v>209</v>
      </c>
      <c r="C4" s="18">
        <v>118000</v>
      </c>
      <c r="D4" s="94"/>
    </row>
    <row r="5" spans="1:4" x14ac:dyDescent="0.3">
      <c r="B5" s="12" t="s">
        <v>210</v>
      </c>
      <c r="C5" s="15">
        <f>C4*C3</f>
        <v>0</v>
      </c>
    </row>
    <row r="7" spans="1:4" ht="18.75" x14ac:dyDescent="0.3">
      <c r="A7" s="14">
        <v>2</v>
      </c>
      <c r="B7" s="14" t="s">
        <v>33</v>
      </c>
      <c r="D7" s="93" t="s">
        <v>46</v>
      </c>
    </row>
    <row r="8" spans="1:4" ht="30" x14ac:dyDescent="0.3">
      <c r="B8" s="1" t="s">
        <v>211</v>
      </c>
      <c r="C8" s="19"/>
      <c r="D8" s="93" t="s">
        <v>212</v>
      </c>
    </row>
    <row r="9" spans="1:4" x14ac:dyDescent="0.3">
      <c r="B9" s="1" t="s">
        <v>208</v>
      </c>
      <c r="C9" s="20">
        <f>C8*1.03</f>
        <v>0</v>
      </c>
    </row>
    <row r="10" spans="1:4" x14ac:dyDescent="0.3">
      <c r="B10" s="1" t="s">
        <v>209</v>
      </c>
      <c r="C10" s="18">
        <v>118000</v>
      </c>
      <c r="D10" s="94"/>
    </row>
    <row r="11" spans="1:4" x14ac:dyDescent="0.3">
      <c r="B11" s="12" t="s">
        <v>210</v>
      </c>
      <c r="C11" s="15">
        <f>C10*C9</f>
        <v>0</v>
      </c>
    </row>
    <row r="13" spans="1:4" ht="18.75" x14ac:dyDescent="0.3">
      <c r="A13" s="14">
        <v>3</v>
      </c>
      <c r="B13" s="14" t="s">
        <v>213</v>
      </c>
      <c r="D13" s="93" t="s">
        <v>46</v>
      </c>
    </row>
    <row r="14" spans="1:4" ht="30" x14ac:dyDescent="0.3">
      <c r="B14" s="1" t="s">
        <v>214</v>
      </c>
      <c r="C14" s="19"/>
      <c r="D14" s="93" t="s">
        <v>212</v>
      </c>
    </row>
    <row r="15" spans="1:4" x14ac:dyDescent="0.3">
      <c r="B15" s="1" t="s">
        <v>208</v>
      </c>
      <c r="C15" s="20">
        <f>C14*1.03</f>
        <v>0</v>
      </c>
    </row>
    <row r="16" spans="1:4" x14ac:dyDescent="0.3">
      <c r="B16" s="1" t="s">
        <v>209</v>
      </c>
      <c r="C16" s="18">
        <v>118000</v>
      </c>
      <c r="D16" s="94"/>
    </row>
    <row r="17" spans="1:4" x14ac:dyDescent="0.3">
      <c r="B17" s="12" t="s">
        <v>210</v>
      </c>
      <c r="C17" s="15">
        <f>C16*C15</f>
        <v>0</v>
      </c>
    </row>
    <row r="19" spans="1:4" ht="18.75" x14ac:dyDescent="0.3">
      <c r="A19" s="14">
        <v>4</v>
      </c>
      <c r="B19" s="14" t="s">
        <v>35</v>
      </c>
      <c r="D19" s="93" t="s">
        <v>46</v>
      </c>
    </row>
    <row r="20" spans="1:4" ht="30" x14ac:dyDescent="0.3">
      <c r="B20" s="1" t="s">
        <v>215</v>
      </c>
      <c r="C20" s="19"/>
      <c r="D20" s="93" t="s">
        <v>212</v>
      </c>
    </row>
    <row r="21" spans="1:4" x14ac:dyDescent="0.3">
      <c r="B21" s="1" t="s">
        <v>208</v>
      </c>
      <c r="C21" s="20">
        <f>C20*1.03</f>
        <v>0</v>
      </c>
    </row>
    <row r="22" spans="1:4" x14ac:dyDescent="0.3">
      <c r="B22" s="1" t="s">
        <v>209</v>
      </c>
      <c r="C22" s="18">
        <v>118000</v>
      </c>
      <c r="D22" s="94"/>
    </row>
    <row r="23" spans="1:4" x14ac:dyDescent="0.3">
      <c r="B23" s="12" t="s">
        <v>210</v>
      </c>
      <c r="C23" s="15">
        <f>C22*C21</f>
        <v>0</v>
      </c>
    </row>
    <row r="24" spans="1:4" x14ac:dyDescent="0.3">
      <c r="C24" s="10"/>
      <c r="D24" s="95"/>
    </row>
    <row r="25" spans="1:4" ht="18.75" x14ac:dyDescent="0.3">
      <c r="A25" s="14">
        <v>5</v>
      </c>
      <c r="B25" s="14" t="s">
        <v>36</v>
      </c>
      <c r="D25" s="93" t="s">
        <v>46</v>
      </c>
    </row>
    <row r="26" spans="1:4" ht="30" x14ac:dyDescent="0.3">
      <c r="B26" s="1" t="s">
        <v>216</v>
      </c>
      <c r="C26" s="19"/>
      <c r="D26" s="93" t="s">
        <v>212</v>
      </c>
    </row>
    <row r="27" spans="1:4" x14ac:dyDescent="0.3">
      <c r="B27" s="1" t="s">
        <v>208</v>
      </c>
      <c r="C27" s="20">
        <f>C26*1.03</f>
        <v>0</v>
      </c>
    </row>
    <row r="28" spans="1:4" x14ac:dyDescent="0.3">
      <c r="B28" s="1" t="s">
        <v>209</v>
      </c>
      <c r="C28" s="18">
        <v>118000</v>
      </c>
      <c r="D28" s="94"/>
    </row>
    <row r="29" spans="1:4" x14ac:dyDescent="0.3">
      <c r="B29" s="12" t="s">
        <v>210</v>
      </c>
      <c r="C29" s="15">
        <f>C28*C27</f>
        <v>0</v>
      </c>
    </row>
    <row r="30" spans="1:4" x14ac:dyDescent="0.3">
      <c r="C30" s="10"/>
      <c r="D30" s="95"/>
    </row>
    <row r="31" spans="1:4" ht="18.75" x14ac:dyDescent="0.3">
      <c r="A31" s="14">
        <v>6</v>
      </c>
      <c r="B31" s="14" t="s">
        <v>28</v>
      </c>
      <c r="D31" s="93" t="s">
        <v>46</v>
      </c>
    </row>
    <row r="32" spans="1:4" x14ac:dyDescent="0.3">
      <c r="B32" s="1" t="s">
        <v>199</v>
      </c>
      <c r="C32" s="17">
        <v>0.05</v>
      </c>
      <c r="D32" s="93" t="s">
        <v>200</v>
      </c>
    </row>
    <row r="33" spans="2:4" x14ac:dyDescent="0.3">
      <c r="B33" s="1" t="s">
        <v>201</v>
      </c>
      <c r="C33" s="17">
        <f>'4. Memória Cálculo Fixos'!C55</f>
        <v>0.05</v>
      </c>
      <c r="D33" s="93" t="s">
        <v>160</v>
      </c>
    </row>
    <row r="34" spans="2:4" x14ac:dyDescent="0.3">
      <c r="B34" s="1" t="s">
        <v>202</v>
      </c>
      <c r="C34" s="17">
        <v>6.5000000000000002E-2</v>
      </c>
      <c r="D34" s="93" t="s">
        <v>203</v>
      </c>
    </row>
    <row r="35" spans="2:4" x14ac:dyDescent="0.3">
      <c r="B35" s="1" t="s">
        <v>217</v>
      </c>
      <c r="C35" s="4">
        <f>SUM('2. Planilha Auxiliar Resumo'!G16:G20)</f>
        <v>0</v>
      </c>
      <c r="D35" s="95"/>
    </row>
    <row r="36" spans="2:4" x14ac:dyDescent="0.3">
      <c r="B36" s="12" t="s">
        <v>210</v>
      </c>
      <c r="C36" s="15">
        <f>C35/(1-C32-C33-C34)-C35</f>
        <v>0</v>
      </c>
      <c r="D36" s="93" t="s">
        <v>205</v>
      </c>
    </row>
    <row r="37" spans="2:4" x14ac:dyDescent="0.3">
      <c r="C37" s="10"/>
      <c r="D37" s="95"/>
    </row>
  </sheetData>
  <pageMargins left="0.511811024" right="0.511811024" top="0.78740157499999996" bottom="0.78740157499999996" header="0.31496062000000002" footer="0.31496062000000002"/>
  <pageSetup paperSize="9" scale="71" orientation="portrait" r:id="rId1"/>
  <colBreaks count="1" manualBreakCount="1">
    <brk id="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1de7c1b-3336-4f35-9e82-7c625761a340">
      <UserInfo>
        <DisplayName>GUILHERME HERRERA MONTENEGRO</DisplayName>
        <AccountId>316</AccountId>
        <AccountType/>
      </UserInfo>
      <UserInfo>
        <DisplayName>ELTON ANTONIO VALENTINI</DisplayName>
        <AccountId>1923</AccountId>
        <AccountType/>
      </UserInfo>
      <UserInfo>
        <DisplayName>RODRIGO SILVA CUNHA</DisplayName>
        <AccountId>87</AccountId>
        <AccountType/>
      </UserInfo>
      <UserInfo>
        <DisplayName>ALESSANDRO CARDOSO DA SILVA</DisplayName>
        <AccountId>185</AccountId>
        <AccountType/>
      </UserInfo>
      <UserInfo>
        <DisplayName>GUILHERME MATEUS DOS ANJOS</DisplayName>
        <AccountId>21</AccountId>
        <AccountType/>
      </UserInfo>
      <UserInfo>
        <DisplayName>MARCIO SOUZA DE MELO</DisplayName>
        <AccountId>165</AccountId>
        <AccountType/>
      </UserInfo>
      <UserInfo>
        <DisplayName>RUDINEI GILMAR SCHMITZ</DisplayName>
        <AccountId>476</AccountId>
        <AccountType/>
      </UserInfo>
      <UserInfo>
        <DisplayName>MARCO AURELIO RIBEIRO CHAVES</DisplayName>
        <AccountId>102</AccountId>
        <AccountType/>
      </UserInfo>
      <UserInfo>
        <DisplayName>BALBUENA CAMPOS MARIELA BEATRIZ</DisplayName>
        <AccountId>5071</AccountId>
        <AccountType/>
      </UserInfo>
    </SharedWithUsers>
    <IconOverlay xmlns="http://schemas.microsoft.com/sharepoint/v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9304D7A705D5B4C8C0D7AD3EC748E4F" ma:contentTypeVersion="11" ma:contentTypeDescription="Crie um novo documento." ma:contentTypeScope="" ma:versionID="3f59a60d45335c095d300cbdac21b4a6">
  <xsd:schema xmlns:xsd="http://www.w3.org/2001/XMLSchema" xmlns:xs="http://www.w3.org/2001/XMLSchema" xmlns:p="http://schemas.microsoft.com/office/2006/metadata/properties" xmlns:ns1="http://schemas.microsoft.com/sharepoint/v3" xmlns:ns2="2904bbcf-c17c-4acf-9faf-c960b6d6a79a" xmlns:ns3="http://schemas.microsoft.com/sharepoint/v4" xmlns:ns4="61de7c1b-3336-4f35-9e82-7c625761a340" targetNamespace="http://schemas.microsoft.com/office/2006/metadata/properties" ma:root="true" ma:fieldsID="a3d63b23f25ba1124de6bb66aa81f0aa" ns1:_="" ns2:_="" ns3:_="" ns4:_="">
    <xsd:import namespace="http://schemas.microsoft.com/sharepoint/v3"/>
    <xsd:import namespace="2904bbcf-c17c-4acf-9faf-c960b6d6a79a"/>
    <xsd:import namespace="http://schemas.microsoft.com/sharepoint/v4"/>
    <xsd:import namespace="61de7c1b-3336-4f35-9e82-7c625761a3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IconOverlay" minOccurs="0"/>
                <xsd:element ref="ns1:_vti_ItemDeclaredRecord" minOccurs="0"/>
                <xsd:element ref="ns1:_vti_ItemHoldRecordStatus" minOccurs="0"/>
                <xsd:element ref="ns4:SharedWithUsers" minOccurs="0"/>
                <xsd:element ref="ns4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11" nillable="true" ma:displayName="Registro Declarado" ma:hidden="true" ma:internalName="_vti_ItemDeclaredRecord" ma:readOnly="true">
      <xsd:simpleType>
        <xsd:restriction base="dms:DateTime"/>
      </xsd:simpleType>
    </xsd:element>
    <xsd:element name="_vti_ItemHoldRecordStatus" ma:index="12" nillable="true" ma:displayName="Status de Registro e Isenção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04bbcf-c17c-4acf-9faf-c960b6d6a7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7c1b-3336-4f35-9e82-7c625761a34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504C10-0C60-427E-B52B-51C85FD56C1D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a3d3d911-2e28-4898-a5fd-6c3ac7d68c62"/>
    <ds:schemaRef ds:uri="http://purl.org/dc/terms/"/>
    <ds:schemaRef ds:uri="http://schemas.microsoft.com/office/infopath/2007/PartnerControls"/>
    <ds:schemaRef ds:uri="http://purl.org/dc/elements/1.1/"/>
    <ds:schemaRef ds:uri="61de7c1b-3336-4f35-9e82-7c625761a340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CF75FF6-619A-4610-B93A-379FF8B0BD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2AD35A-CEC0-402B-8985-7B3C6170FA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Capa</vt:lpstr>
      <vt:lpstr>1. Planilha de Preços</vt:lpstr>
      <vt:lpstr>2. Planilha Auxiliar Resumo</vt:lpstr>
      <vt:lpstr>3. Planilha Auxiliar Pessoal</vt:lpstr>
      <vt:lpstr>4. Memória Cálculo Fixos</vt:lpstr>
      <vt:lpstr>5. Memória Cálculo Variáveis</vt:lpstr>
      <vt:lpstr>'1. Planilha de Preços'!Area_de_impressao</vt:lpstr>
      <vt:lpstr>'3. Planilha Auxiliar Pessoal'!Area_de_impressao</vt:lpstr>
      <vt:lpstr>'1. Planilha de Preços'!Print_Area</vt:lpstr>
      <vt:lpstr>'2. Planilha Auxiliar Resumo'!Print_Area</vt:lpstr>
      <vt:lpstr>'3. Planilha Auxiliar Pessoal'!Print_Area</vt:lpstr>
      <vt:lpstr>'4. Memória Cálculo Fixos'!Print_Area</vt:lpstr>
      <vt:lpstr>'5. Memória Cálculo Variáveis'!Print_Area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Alessandro Cardoso da Silva</dc:creator>
  <cp:keywords/>
  <dc:description/>
  <cp:lastModifiedBy>GUILHERME MATEUS DOS ANJOS</cp:lastModifiedBy>
  <cp:revision/>
  <dcterms:created xsi:type="dcterms:W3CDTF">2014-11-04T11:18:28Z</dcterms:created>
  <dcterms:modified xsi:type="dcterms:W3CDTF">2024-08-21T14:36:38Z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0x010100F9304D7A705D5B4C8C0D7AD3EC748E4F</vt:lpwstr>
  </property>
  <property fmtid="{D5CDD505-2E9C-101B-9397-08002B2CF9AE}" pid="3" name="MediaServiceImageTags">
    <vt:lpwstr/>
  </property>
</Properties>
</file>